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1.xml" ContentType="application/vnd.openxmlformats-officedocument.drawing+xml"/>
  <Override PartName="/xl/charts/chart1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228" windowWidth="16260" windowHeight="8820" tabRatio="911"/>
  </bookViews>
  <sheets>
    <sheet name="summary of data" sheetId="8" r:id="rId1"/>
    <sheet name="cryo on data 08" sheetId="6" r:id="rId2"/>
    <sheet name="cryo on data 09" sheetId="7" r:id="rId3"/>
    <sheet name="cryo on data 12" sheetId="9" r:id="rId4"/>
    <sheet name="cryo on data 13" sheetId="11" r:id="rId5"/>
    <sheet name="cryo on data 15" sheetId="13" r:id="rId6"/>
    <sheet name="cryo on data 16" sheetId="14" r:id="rId7"/>
    <sheet name="cryo on data 19" sheetId="15" r:id="rId8"/>
    <sheet name="cryo on data 23" sheetId="18" r:id="rId9"/>
    <sheet name="absolute density calculator" sheetId="4" r:id="rId10"/>
    <sheet name=" beam dynamic density calculato" sheetId="10" r:id="rId11"/>
    <sheet name="power dependencies" sheetId="16" r:id="rId12"/>
    <sheet name="probe laser time profile measur" sheetId="17" r:id="rId13"/>
  </sheets>
  <externalReferences>
    <externalReference r:id="rId14"/>
  </externalReferences>
  <definedNames>
    <definedName name="solver_adj" localSheetId="12" hidden="1">'probe laser time profile measur'!$K$2:$K$5</definedName>
    <definedName name="solver_adj" localSheetId="0" hidden="1">'summary of data'!$M$3:$M$4</definedName>
    <definedName name="solver_cvg" localSheetId="12" hidden="1">0.0001</definedName>
    <definedName name="solver_cvg" localSheetId="0" hidden="1">0.0001</definedName>
    <definedName name="solver_drv" localSheetId="12" hidden="1">1</definedName>
    <definedName name="solver_drv" localSheetId="0" hidden="1">1</definedName>
    <definedName name="solver_eng" localSheetId="12" hidden="1">1</definedName>
    <definedName name="solver_eng" localSheetId="0" hidden="1">1</definedName>
    <definedName name="solver_est" localSheetId="12" hidden="1">1</definedName>
    <definedName name="solver_est" localSheetId="0" hidden="1">1</definedName>
    <definedName name="solver_itr" localSheetId="12" hidden="1">2147483647</definedName>
    <definedName name="solver_itr" localSheetId="0" hidden="1">2147483647</definedName>
    <definedName name="solver_mip" localSheetId="12" hidden="1">2147483647</definedName>
    <definedName name="solver_mip" localSheetId="0" hidden="1">2147483647</definedName>
    <definedName name="solver_mni" localSheetId="12" hidden="1">30</definedName>
    <definedName name="solver_mni" localSheetId="0" hidden="1">30</definedName>
    <definedName name="solver_mrt" localSheetId="12" hidden="1">0.075</definedName>
    <definedName name="solver_mrt" localSheetId="0" hidden="1">0.075</definedName>
    <definedName name="solver_msl" localSheetId="12" hidden="1">2</definedName>
    <definedName name="solver_msl" localSheetId="0" hidden="1">2</definedName>
    <definedName name="solver_neg" localSheetId="12" hidden="1">1</definedName>
    <definedName name="solver_neg" localSheetId="0" hidden="1">1</definedName>
    <definedName name="solver_nod" localSheetId="12" hidden="1">2147483647</definedName>
    <definedName name="solver_nod" localSheetId="0" hidden="1">2147483647</definedName>
    <definedName name="solver_num" localSheetId="12" hidden="1">0</definedName>
    <definedName name="solver_num" localSheetId="0" hidden="1">0</definedName>
    <definedName name="solver_nwt" localSheetId="12" hidden="1">1</definedName>
    <definedName name="solver_nwt" localSheetId="0" hidden="1">1</definedName>
    <definedName name="solver_opt" localSheetId="12" hidden="1">'probe laser time profile measur'!$G$4</definedName>
    <definedName name="solver_opt" localSheetId="0" hidden="1">'summary of data'!$M$5</definedName>
    <definedName name="solver_pre" localSheetId="12" hidden="1">0.000001</definedName>
    <definedName name="solver_pre" localSheetId="0" hidden="1">0.000001</definedName>
    <definedName name="solver_rbv" localSheetId="12" hidden="1">1</definedName>
    <definedName name="solver_rbv" localSheetId="0" hidden="1">1</definedName>
    <definedName name="solver_rlx" localSheetId="12" hidden="1">2</definedName>
    <definedName name="solver_rlx" localSheetId="0" hidden="1">2</definedName>
    <definedName name="solver_rsd" localSheetId="12" hidden="1">0</definedName>
    <definedName name="solver_rsd" localSheetId="0" hidden="1">0</definedName>
    <definedName name="solver_scl" localSheetId="12" hidden="1">1</definedName>
    <definedName name="solver_scl" localSheetId="0" hidden="1">1</definedName>
    <definedName name="solver_sho" localSheetId="12" hidden="1">2</definedName>
    <definedName name="solver_sho" localSheetId="0" hidden="1">2</definedName>
    <definedName name="solver_ssz" localSheetId="12" hidden="1">100</definedName>
    <definedName name="solver_ssz" localSheetId="0" hidden="1">100</definedName>
    <definedName name="solver_tim" localSheetId="12" hidden="1">2147483647</definedName>
    <definedName name="solver_tim" localSheetId="0" hidden="1">2147483647</definedName>
    <definedName name="solver_tol" localSheetId="12" hidden="1">0.01</definedName>
    <definedName name="solver_tol" localSheetId="0" hidden="1">0.01</definedName>
    <definedName name="solver_typ" localSheetId="12" hidden="1">2</definedName>
    <definedName name="solver_typ" localSheetId="0" hidden="1">2</definedName>
    <definedName name="solver_val" localSheetId="12" hidden="1">0</definedName>
    <definedName name="solver_val" localSheetId="0" hidden="1">0</definedName>
    <definedName name="solver_ver" localSheetId="12" hidden="1">3</definedName>
    <definedName name="solver_ver" localSheetId="0" hidden="1">3</definedName>
  </definedNames>
  <calcPr calcId="144525"/>
</workbook>
</file>

<file path=xl/calcChain.xml><?xml version="1.0" encoding="utf-8"?>
<calcChain xmlns="http://schemas.openxmlformats.org/spreadsheetml/2006/main">
  <c r="M19" i="8" l="1"/>
  <c r="M5" i="8"/>
  <c r="M2" i="8"/>
  <c r="N2" i="8" s="1"/>
  <c r="O19" i="8"/>
  <c r="B19" i="8"/>
  <c r="L19" i="8"/>
  <c r="N19" i="8"/>
  <c r="Q19" i="8"/>
  <c r="AM10" i="18"/>
  <c r="AB10" i="18"/>
  <c r="AA10" i="18"/>
  <c r="Z10" i="18"/>
  <c r="Y10" i="18"/>
  <c r="V10" i="18"/>
  <c r="U10" i="18"/>
  <c r="T10" i="18"/>
  <c r="S10" i="18"/>
  <c r="AF10" i="18" s="1"/>
  <c r="R10" i="18"/>
  <c r="AE10" i="18" s="1"/>
  <c r="L10" i="18"/>
  <c r="K10" i="18"/>
  <c r="J10" i="18"/>
  <c r="I10" i="18"/>
  <c r="F10" i="18"/>
  <c r="H10" i="18" s="1"/>
  <c r="E10" i="18"/>
  <c r="D10" i="18"/>
  <c r="C10" i="18"/>
  <c r="B10" i="18"/>
  <c r="P19" i="8" l="1"/>
  <c r="AH10" i="18"/>
  <c r="AO10" i="18"/>
  <c r="AQ10" i="18" s="1"/>
  <c r="AG10" i="18"/>
  <c r="AI10" i="18"/>
  <c r="AJ10" i="18" s="1"/>
  <c r="AL10" i="18" s="1"/>
  <c r="AP10" i="18"/>
  <c r="W10" i="18"/>
  <c r="G10" i="18"/>
  <c r="X10" i="18"/>
  <c r="Z10" i="8"/>
  <c r="Z11" i="8"/>
  <c r="Z12" i="8"/>
  <c r="Z13" i="8"/>
  <c r="Z14" i="8"/>
  <c r="Z15" i="8"/>
  <c r="Z16" i="8"/>
  <c r="Z17" i="8"/>
  <c r="Z18" i="8"/>
  <c r="Z19" i="8"/>
  <c r="AB10" i="8"/>
  <c r="AB11" i="8"/>
  <c r="AB12" i="8"/>
  <c r="AB13" i="8"/>
  <c r="AB14" i="8"/>
  <c r="AB15" i="8"/>
  <c r="AB16" i="8"/>
  <c r="AB17" i="8"/>
  <c r="AB18" i="8"/>
  <c r="AB19" i="8"/>
  <c r="X10" i="8"/>
  <c r="X11" i="8"/>
  <c r="X12" i="8"/>
  <c r="X13" i="8"/>
  <c r="X14" i="8"/>
  <c r="X15" i="8"/>
  <c r="X16" i="8"/>
  <c r="X17" i="8"/>
  <c r="X18" i="8"/>
  <c r="X19" i="8"/>
  <c r="E138" i="17"/>
  <c r="D138" i="17"/>
  <c r="F138" i="17" s="1"/>
  <c r="C138" i="17"/>
  <c r="D137" i="17"/>
  <c r="C137" i="17"/>
  <c r="E137" i="17" s="1"/>
  <c r="E136" i="17"/>
  <c r="D136" i="17"/>
  <c r="F136" i="17" s="1"/>
  <c r="C136" i="17"/>
  <c r="D135" i="17"/>
  <c r="C135" i="17"/>
  <c r="E135" i="17" s="1"/>
  <c r="E134" i="17"/>
  <c r="D134" i="17"/>
  <c r="F134" i="17" s="1"/>
  <c r="C134" i="17"/>
  <c r="D133" i="17"/>
  <c r="C133" i="17"/>
  <c r="E133" i="17" s="1"/>
  <c r="E132" i="17"/>
  <c r="D132" i="17"/>
  <c r="F132" i="17" s="1"/>
  <c r="C132" i="17"/>
  <c r="D131" i="17"/>
  <c r="C131" i="17"/>
  <c r="E131" i="17" s="1"/>
  <c r="E130" i="17"/>
  <c r="D130" i="17"/>
  <c r="F130" i="17" s="1"/>
  <c r="C130" i="17"/>
  <c r="D129" i="17"/>
  <c r="F129" i="17" s="1"/>
  <c r="C129" i="17"/>
  <c r="E129" i="17" s="1"/>
  <c r="E128" i="17"/>
  <c r="D128" i="17"/>
  <c r="F128" i="17" s="1"/>
  <c r="C128" i="17"/>
  <c r="D127" i="17"/>
  <c r="F127" i="17" s="1"/>
  <c r="C127" i="17"/>
  <c r="E127" i="17" s="1"/>
  <c r="E126" i="17"/>
  <c r="D126" i="17"/>
  <c r="F126" i="17" s="1"/>
  <c r="C126" i="17"/>
  <c r="D125" i="17"/>
  <c r="F125" i="17" s="1"/>
  <c r="C125" i="17"/>
  <c r="E125" i="17" s="1"/>
  <c r="E124" i="17"/>
  <c r="D124" i="17"/>
  <c r="F124" i="17" s="1"/>
  <c r="C124" i="17"/>
  <c r="D123" i="17"/>
  <c r="C123" i="17"/>
  <c r="E123" i="17" s="1"/>
  <c r="E122" i="17"/>
  <c r="D122" i="17"/>
  <c r="F122" i="17" s="1"/>
  <c r="C122" i="17"/>
  <c r="D121" i="17"/>
  <c r="C121" i="17"/>
  <c r="E121" i="17" s="1"/>
  <c r="E120" i="17"/>
  <c r="D120" i="17"/>
  <c r="F120" i="17" s="1"/>
  <c r="C120" i="17"/>
  <c r="D119" i="17"/>
  <c r="C119" i="17"/>
  <c r="E119" i="17" s="1"/>
  <c r="E118" i="17"/>
  <c r="D118" i="17"/>
  <c r="F118" i="17" s="1"/>
  <c r="C118" i="17"/>
  <c r="D117" i="17"/>
  <c r="C117" i="17"/>
  <c r="E117" i="17" s="1"/>
  <c r="E116" i="17"/>
  <c r="D116" i="17"/>
  <c r="F116" i="17" s="1"/>
  <c r="C116" i="17"/>
  <c r="D115" i="17"/>
  <c r="C115" i="17"/>
  <c r="E115" i="17" s="1"/>
  <c r="E114" i="17"/>
  <c r="D114" i="17"/>
  <c r="F114" i="17" s="1"/>
  <c r="C114" i="17"/>
  <c r="D113" i="17"/>
  <c r="F113" i="17" s="1"/>
  <c r="C113" i="17"/>
  <c r="E113" i="17" s="1"/>
  <c r="E112" i="17"/>
  <c r="D112" i="17"/>
  <c r="F112" i="17" s="1"/>
  <c r="C112" i="17"/>
  <c r="D111" i="17"/>
  <c r="F111" i="17" s="1"/>
  <c r="C111" i="17"/>
  <c r="E111" i="17" s="1"/>
  <c r="E110" i="17"/>
  <c r="D110" i="17"/>
  <c r="F110" i="17" s="1"/>
  <c r="C110" i="17"/>
  <c r="D109" i="17"/>
  <c r="F109" i="17" s="1"/>
  <c r="C109" i="17"/>
  <c r="E109" i="17" s="1"/>
  <c r="E108" i="17"/>
  <c r="D108" i="17"/>
  <c r="F108" i="17" s="1"/>
  <c r="C108" i="17"/>
  <c r="D107" i="17"/>
  <c r="C107" i="17"/>
  <c r="E107" i="17" s="1"/>
  <c r="E106" i="17"/>
  <c r="D106" i="17"/>
  <c r="F106" i="17" s="1"/>
  <c r="C106" i="17"/>
  <c r="D105" i="17"/>
  <c r="C105" i="17"/>
  <c r="E105" i="17" s="1"/>
  <c r="E104" i="17"/>
  <c r="D104" i="17"/>
  <c r="F104" i="17" s="1"/>
  <c r="C104" i="17"/>
  <c r="D103" i="17"/>
  <c r="C103" i="17"/>
  <c r="E103" i="17" s="1"/>
  <c r="E102" i="17"/>
  <c r="D102" i="17"/>
  <c r="F102" i="17" s="1"/>
  <c r="C102" i="17"/>
  <c r="D101" i="17"/>
  <c r="C101" i="17"/>
  <c r="E101" i="17" s="1"/>
  <c r="E100" i="17"/>
  <c r="D100" i="17"/>
  <c r="F100" i="17" s="1"/>
  <c r="C100" i="17"/>
  <c r="D99" i="17"/>
  <c r="C99" i="17"/>
  <c r="E99" i="17" s="1"/>
  <c r="E98" i="17"/>
  <c r="D98" i="17"/>
  <c r="F98" i="17" s="1"/>
  <c r="C98" i="17"/>
  <c r="D97" i="17"/>
  <c r="F97" i="17" s="1"/>
  <c r="C97" i="17"/>
  <c r="E97" i="17" s="1"/>
  <c r="E96" i="17"/>
  <c r="D96" i="17"/>
  <c r="F96" i="17" s="1"/>
  <c r="C96" i="17"/>
  <c r="D95" i="17"/>
  <c r="F95" i="17" s="1"/>
  <c r="C95" i="17"/>
  <c r="E95" i="17" s="1"/>
  <c r="E94" i="17"/>
  <c r="D94" i="17"/>
  <c r="F94" i="17" s="1"/>
  <c r="C94" i="17"/>
  <c r="D93" i="17"/>
  <c r="F93" i="17" s="1"/>
  <c r="C93" i="17"/>
  <c r="E93" i="17" s="1"/>
  <c r="E92" i="17"/>
  <c r="D92" i="17"/>
  <c r="F92" i="17" s="1"/>
  <c r="C92" i="17"/>
  <c r="D91" i="17"/>
  <c r="C91" i="17"/>
  <c r="E91" i="17" s="1"/>
  <c r="E90" i="17"/>
  <c r="D90" i="17"/>
  <c r="F90" i="17" s="1"/>
  <c r="C90" i="17"/>
  <c r="D89" i="17"/>
  <c r="C89" i="17"/>
  <c r="E89" i="17" s="1"/>
  <c r="E88" i="17"/>
  <c r="D88" i="17"/>
  <c r="F88" i="17" s="1"/>
  <c r="C88" i="17"/>
  <c r="D87" i="17"/>
  <c r="C87" i="17"/>
  <c r="E87" i="17" s="1"/>
  <c r="E86" i="17"/>
  <c r="D86" i="17"/>
  <c r="F86" i="17" s="1"/>
  <c r="C86" i="17"/>
  <c r="D85" i="17"/>
  <c r="C85" i="17"/>
  <c r="E85" i="17" s="1"/>
  <c r="E84" i="17"/>
  <c r="D84" i="17"/>
  <c r="F84" i="17" s="1"/>
  <c r="C84" i="17"/>
  <c r="D83" i="17"/>
  <c r="C83" i="17"/>
  <c r="E83" i="17" s="1"/>
  <c r="E82" i="17"/>
  <c r="D82" i="17"/>
  <c r="F82" i="17" s="1"/>
  <c r="C82" i="17"/>
  <c r="D81" i="17"/>
  <c r="F81" i="17" s="1"/>
  <c r="C81" i="17"/>
  <c r="E81" i="17" s="1"/>
  <c r="E80" i="17"/>
  <c r="D80" i="17"/>
  <c r="F80" i="17" s="1"/>
  <c r="C80" i="17"/>
  <c r="D79" i="17"/>
  <c r="F79" i="17" s="1"/>
  <c r="C79" i="17"/>
  <c r="E79" i="17" s="1"/>
  <c r="E78" i="17"/>
  <c r="D78" i="17"/>
  <c r="F78" i="17" s="1"/>
  <c r="C78" i="17"/>
  <c r="D77" i="17"/>
  <c r="F77" i="17" s="1"/>
  <c r="C77" i="17"/>
  <c r="E77" i="17" s="1"/>
  <c r="E76" i="17"/>
  <c r="D76" i="17"/>
  <c r="F76" i="17" s="1"/>
  <c r="C76" i="17"/>
  <c r="D75" i="17"/>
  <c r="C75" i="17"/>
  <c r="E75" i="17" s="1"/>
  <c r="E74" i="17"/>
  <c r="D74" i="17"/>
  <c r="F74" i="17" s="1"/>
  <c r="C74" i="17"/>
  <c r="D73" i="17"/>
  <c r="C73" i="17"/>
  <c r="E73" i="17" s="1"/>
  <c r="E72" i="17"/>
  <c r="D72" i="17"/>
  <c r="F72" i="17" s="1"/>
  <c r="C72" i="17"/>
  <c r="D71" i="17"/>
  <c r="C71" i="17"/>
  <c r="E71" i="17" s="1"/>
  <c r="E70" i="17"/>
  <c r="D70" i="17"/>
  <c r="F70" i="17" s="1"/>
  <c r="C70" i="17"/>
  <c r="D69" i="17"/>
  <c r="C69" i="17"/>
  <c r="E69" i="17" s="1"/>
  <c r="E68" i="17"/>
  <c r="D68" i="17"/>
  <c r="F68" i="17" s="1"/>
  <c r="C68" i="17"/>
  <c r="D67" i="17"/>
  <c r="C67" i="17"/>
  <c r="E67" i="17" s="1"/>
  <c r="E66" i="17"/>
  <c r="D66" i="17"/>
  <c r="F66" i="17" s="1"/>
  <c r="C66" i="17"/>
  <c r="D65" i="17"/>
  <c r="F65" i="17" s="1"/>
  <c r="C65" i="17"/>
  <c r="E65" i="17" s="1"/>
  <c r="E64" i="17"/>
  <c r="D64" i="17"/>
  <c r="F64" i="17" s="1"/>
  <c r="C64" i="17"/>
  <c r="D63" i="17"/>
  <c r="F63" i="17" s="1"/>
  <c r="C63" i="17"/>
  <c r="E63" i="17" s="1"/>
  <c r="E62" i="17"/>
  <c r="D62" i="17"/>
  <c r="F62" i="17" s="1"/>
  <c r="C62" i="17"/>
  <c r="D61" i="17"/>
  <c r="F61" i="17" s="1"/>
  <c r="C61" i="17"/>
  <c r="E61" i="17" s="1"/>
  <c r="E60" i="17"/>
  <c r="D60" i="17"/>
  <c r="F60" i="17" s="1"/>
  <c r="C60" i="17"/>
  <c r="D59" i="17"/>
  <c r="C59" i="17"/>
  <c r="E59" i="17" s="1"/>
  <c r="E58" i="17"/>
  <c r="D58" i="17"/>
  <c r="F58" i="17" s="1"/>
  <c r="C58" i="17"/>
  <c r="D57" i="17"/>
  <c r="C57" i="17"/>
  <c r="E57" i="17" s="1"/>
  <c r="E56" i="17"/>
  <c r="D56" i="17"/>
  <c r="F56" i="17" s="1"/>
  <c r="C56" i="17"/>
  <c r="D55" i="17"/>
  <c r="C55" i="17"/>
  <c r="E55" i="17" s="1"/>
  <c r="E54" i="17"/>
  <c r="D54" i="17"/>
  <c r="F54" i="17" s="1"/>
  <c r="C54" i="17"/>
  <c r="D53" i="17"/>
  <c r="C53" i="17"/>
  <c r="E53" i="17" s="1"/>
  <c r="E52" i="17"/>
  <c r="D52" i="17"/>
  <c r="F52" i="17" s="1"/>
  <c r="C52" i="17"/>
  <c r="D51" i="17"/>
  <c r="C51" i="17"/>
  <c r="E51" i="17" s="1"/>
  <c r="E50" i="17"/>
  <c r="D50" i="17"/>
  <c r="F50" i="17" s="1"/>
  <c r="C50" i="17"/>
  <c r="D49" i="17"/>
  <c r="F49" i="17" s="1"/>
  <c r="C49" i="17"/>
  <c r="E49" i="17" s="1"/>
  <c r="E48" i="17"/>
  <c r="D48" i="17"/>
  <c r="F48" i="17" s="1"/>
  <c r="C48" i="17"/>
  <c r="D47" i="17"/>
  <c r="F47" i="17" s="1"/>
  <c r="C47" i="17"/>
  <c r="E47" i="17" s="1"/>
  <c r="E46" i="17"/>
  <c r="D46" i="17"/>
  <c r="F46" i="17" s="1"/>
  <c r="C46" i="17"/>
  <c r="D45" i="17"/>
  <c r="F45" i="17" s="1"/>
  <c r="C45" i="17"/>
  <c r="E45" i="17" s="1"/>
  <c r="E44" i="17"/>
  <c r="D44" i="17"/>
  <c r="F44" i="17" s="1"/>
  <c r="C44" i="17"/>
  <c r="D43" i="17"/>
  <c r="C43" i="17"/>
  <c r="E43" i="17" s="1"/>
  <c r="E42" i="17"/>
  <c r="D42" i="17"/>
  <c r="F42" i="17" s="1"/>
  <c r="C42" i="17"/>
  <c r="D41" i="17"/>
  <c r="C41" i="17"/>
  <c r="E41" i="17" s="1"/>
  <c r="E40" i="17"/>
  <c r="D40" i="17"/>
  <c r="F40" i="17" s="1"/>
  <c r="C40" i="17"/>
  <c r="D39" i="17"/>
  <c r="C39" i="17"/>
  <c r="E39" i="17" s="1"/>
  <c r="E38" i="17"/>
  <c r="D38" i="17"/>
  <c r="F38" i="17" s="1"/>
  <c r="C38" i="17"/>
  <c r="D37" i="17"/>
  <c r="C37" i="17"/>
  <c r="E37" i="17" s="1"/>
  <c r="E36" i="17"/>
  <c r="D36" i="17"/>
  <c r="F36" i="17" s="1"/>
  <c r="C36" i="17"/>
  <c r="D35" i="17"/>
  <c r="C35" i="17"/>
  <c r="E35" i="17" s="1"/>
  <c r="E34" i="17"/>
  <c r="D34" i="17"/>
  <c r="F34" i="17" s="1"/>
  <c r="C34" i="17"/>
  <c r="D33" i="17"/>
  <c r="F33" i="17" s="1"/>
  <c r="C33" i="17"/>
  <c r="E33" i="17" s="1"/>
  <c r="E32" i="17"/>
  <c r="D32" i="17"/>
  <c r="F32" i="17" s="1"/>
  <c r="C32" i="17"/>
  <c r="D31" i="17"/>
  <c r="F31" i="17" s="1"/>
  <c r="C31" i="17"/>
  <c r="E31" i="17" s="1"/>
  <c r="E30" i="17"/>
  <c r="D30" i="17"/>
  <c r="F30" i="17" s="1"/>
  <c r="C30" i="17"/>
  <c r="D29" i="17"/>
  <c r="F29" i="17" s="1"/>
  <c r="C29" i="17"/>
  <c r="E29" i="17" s="1"/>
  <c r="E28" i="17"/>
  <c r="D28" i="17"/>
  <c r="F28" i="17" s="1"/>
  <c r="C28" i="17"/>
  <c r="D27" i="17"/>
  <c r="C27" i="17"/>
  <c r="E27" i="17" s="1"/>
  <c r="E26" i="17"/>
  <c r="D26" i="17"/>
  <c r="F26" i="17" s="1"/>
  <c r="C26" i="17"/>
  <c r="D25" i="17"/>
  <c r="C25" i="17"/>
  <c r="E25" i="17" s="1"/>
  <c r="E24" i="17"/>
  <c r="D24" i="17"/>
  <c r="F24" i="17" s="1"/>
  <c r="C24" i="17"/>
  <c r="D23" i="17"/>
  <c r="C23" i="17"/>
  <c r="E23" i="17" s="1"/>
  <c r="E22" i="17"/>
  <c r="D22" i="17"/>
  <c r="F22" i="17" s="1"/>
  <c r="C22" i="17"/>
  <c r="D21" i="17"/>
  <c r="C21" i="17"/>
  <c r="E21" i="17" s="1"/>
  <c r="E20" i="17"/>
  <c r="D20" i="17"/>
  <c r="F20" i="17" s="1"/>
  <c r="C20" i="17"/>
  <c r="D19" i="17"/>
  <c r="C19" i="17"/>
  <c r="E19" i="17" s="1"/>
  <c r="E18" i="17"/>
  <c r="D18" i="17"/>
  <c r="F18" i="17" s="1"/>
  <c r="C18" i="17"/>
  <c r="D17" i="17"/>
  <c r="F17" i="17" s="1"/>
  <c r="C17" i="17"/>
  <c r="E17" i="17" s="1"/>
  <c r="E16" i="17"/>
  <c r="D16" i="17"/>
  <c r="F16" i="17" s="1"/>
  <c r="C16" i="17"/>
  <c r="D15" i="17"/>
  <c r="F15" i="17" s="1"/>
  <c r="C15" i="17"/>
  <c r="E15" i="17" s="1"/>
  <c r="E14" i="17"/>
  <c r="D14" i="17"/>
  <c r="F14" i="17" s="1"/>
  <c r="C14" i="17"/>
  <c r="D13" i="17"/>
  <c r="F13" i="17" s="1"/>
  <c r="C13" i="17"/>
  <c r="E13" i="17" s="1"/>
  <c r="E12" i="17"/>
  <c r="D12" i="17"/>
  <c r="F12" i="17" s="1"/>
  <c r="C12" i="17"/>
  <c r="D11" i="17"/>
  <c r="C11" i="17"/>
  <c r="E11" i="17" s="1"/>
  <c r="E10" i="17"/>
  <c r="D10" i="17"/>
  <c r="F10" i="17" s="1"/>
  <c r="C10" i="17"/>
  <c r="D9" i="17"/>
  <c r="C9" i="17"/>
  <c r="E9" i="17" s="1"/>
  <c r="E8" i="17"/>
  <c r="D8" i="17"/>
  <c r="F8" i="17" s="1"/>
  <c r="C8" i="17"/>
  <c r="I7" i="17"/>
  <c r="E7" i="17"/>
  <c r="D7" i="17"/>
  <c r="F7" i="17" s="1"/>
  <c r="C7" i="17"/>
  <c r="D6" i="17"/>
  <c r="C6" i="17"/>
  <c r="E6" i="17" s="1"/>
  <c r="F6" i="17" s="1"/>
  <c r="AK10" i="18" l="1"/>
  <c r="AN10" i="18"/>
  <c r="F11" i="17"/>
  <c r="F27" i="17"/>
  <c r="F43" i="17"/>
  <c r="F59" i="17"/>
  <c r="F75" i="17"/>
  <c r="F91" i="17"/>
  <c r="F107" i="17"/>
  <c r="F123" i="17"/>
  <c r="F21" i="17"/>
  <c r="F37" i="17"/>
  <c r="F53" i="17"/>
  <c r="F69" i="17"/>
  <c r="F85" i="17"/>
  <c r="F101" i="17"/>
  <c r="F117" i="17"/>
  <c r="F133" i="17"/>
  <c r="F25" i="17"/>
  <c r="F41" i="17"/>
  <c r="F57" i="17"/>
  <c r="F73" i="17"/>
  <c r="F89" i="17"/>
  <c r="F105" i="17"/>
  <c r="F121" i="17"/>
  <c r="F137" i="17"/>
  <c r="F19" i="17"/>
  <c r="F35" i="17"/>
  <c r="F51" i="17"/>
  <c r="F67" i="17"/>
  <c r="F83" i="17"/>
  <c r="F99" i="17"/>
  <c r="F115" i="17"/>
  <c r="F131" i="17"/>
  <c r="F9" i="17"/>
  <c r="G4" i="17" s="1"/>
  <c r="F23" i="17"/>
  <c r="F39" i="17"/>
  <c r="F55" i="17"/>
  <c r="F71" i="17"/>
  <c r="F87" i="17"/>
  <c r="F103" i="17"/>
  <c r="F119" i="17"/>
  <c r="F135" i="17"/>
  <c r="AJ8" i="6" l="1"/>
  <c r="J12" i="16"/>
  <c r="J13" i="16"/>
  <c r="J14" i="16"/>
  <c r="J15" i="16"/>
  <c r="J16" i="16"/>
  <c r="J17" i="16"/>
  <c r="J18" i="16"/>
  <c r="J19" i="16"/>
  <c r="J20" i="16"/>
  <c r="J21" i="16"/>
  <c r="J22" i="16"/>
  <c r="K22" i="16" s="1"/>
  <c r="J23" i="16"/>
  <c r="J24" i="16"/>
  <c r="J25" i="16"/>
  <c r="J26" i="16"/>
  <c r="J27" i="16"/>
  <c r="K27" i="16" s="1"/>
  <c r="J28" i="16"/>
  <c r="J29" i="16"/>
  <c r="J30" i="16"/>
  <c r="J31" i="16"/>
  <c r="J32" i="16"/>
  <c r="J33" i="16"/>
  <c r="J34" i="16"/>
  <c r="J35" i="16"/>
  <c r="K35" i="16" s="1"/>
  <c r="J36" i="16"/>
  <c r="J37" i="16"/>
  <c r="J38" i="16"/>
  <c r="J39" i="16"/>
  <c r="J40" i="16"/>
  <c r="J41" i="16"/>
  <c r="J42" i="16"/>
  <c r="J43" i="16"/>
  <c r="K43" i="16" s="1"/>
  <c r="J44" i="16"/>
  <c r="J45" i="16"/>
  <c r="J46" i="16"/>
  <c r="J47" i="16"/>
  <c r="J48" i="16"/>
  <c r="J49" i="16"/>
  <c r="J50" i="16"/>
  <c r="J51" i="16"/>
  <c r="K51" i="16" s="1"/>
  <c r="J11" i="16"/>
  <c r="Y12" i="16"/>
  <c r="Y13" i="16"/>
  <c r="Y14" i="16"/>
  <c r="Y15" i="16"/>
  <c r="Y16" i="16"/>
  <c r="Y17" i="16"/>
  <c r="Y18" i="16"/>
  <c r="Y19" i="16"/>
  <c r="Y20" i="16"/>
  <c r="Y21" i="16"/>
  <c r="Y22" i="16"/>
  <c r="Y23" i="16"/>
  <c r="Y24" i="16"/>
  <c r="Y25" i="16"/>
  <c r="Y26" i="16"/>
  <c r="Y27" i="16"/>
  <c r="Y28" i="16"/>
  <c r="Y29" i="16"/>
  <c r="Y30" i="16"/>
  <c r="Y31" i="16"/>
  <c r="Y32" i="16"/>
  <c r="Y33" i="16"/>
  <c r="Y34" i="16"/>
  <c r="Y35" i="16"/>
  <c r="Y36" i="16"/>
  <c r="Y37" i="16"/>
  <c r="Y38" i="16"/>
  <c r="Y39" i="16"/>
  <c r="Y40" i="16"/>
  <c r="Y41" i="16"/>
  <c r="Y42" i="16"/>
  <c r="Y43" i="16"/>
  <c r="Y44" i="16"/>
  <c r="Y45" i="16"/>
  <c r="Y46" i="16"/>
  <c r="Y47" i="16"/>
  <c r="Y48" i="16"/>
  <c r="Y49" i="16"/>
  <c r="Y50" i="16"/>
  <c r="Y51" i="16"/>
  <c r="Y52" i="16"/>
  <c r="Y53" i="16"/>
  <c r="Y54" i="16"/>
  <c r="Y55" i="16"/>
  <c r="Y11" i="16"/>
  <c r="K18" i="16"/>
  <c r="K19" i="16"/>
  <c r="Z15"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N37" i="16"/>
  <c r="N38" i="16"/>
  <c r="N39" i="16"/>
  <c r="N40" i="16"/>
  <c r="N41" i="16"/>
  <c r="N42" i="16"/>
  <c r="N43" i="16"/>
  <c r="N44" i="16"/>
  <c r="N45" i="16"/>
  <c r="N46" i="16"/>
  <c r="N47" i="16"/>
  <c r="N48" i="16"/>
  <c r="N49" i="16"/>
  <c r="N50" i="16"/>
  <c r="N51" i="16"/>
  <c r="N11" i="16"/>
  <c r="AC12" i="16"/>
  <c r="AC13" i="16"/>
  <c r="AC14" i="16"/>
  <c r="AC15" i="16"/>
  <c r="AC16" i="16"/>
  <c r="AC17" i="16"/>
  <c r="AC18" i="16"/>
  <c r="AC19" i="16"/>
  <c r="AC20" i="16"/>
  <c r="AC21" i="16"/>
  <c r="AC22" i="16"/>
  <c r="AC23" i="16"/>
  <c r="AC24" i="16"/>
  <c r="AC25" i="16"/>
  <c r="AC26" i="16"/>
  <c r="AC27" i="16"/>
  <c r="AC28" i="16"/>
  <c r="AC29" i="16"/>
  <c r="AC30" i="16"/>
  <c r="AC31" i="16"/>
  <c r="AC32" i="16"/>
  <c r="AC33" i="16"/>
  <c r="AC34" i="16"/>
  <c r="AC35" i="16"/>
  <c r="AC36" i="16"/>
  <c r="AC37" i="16"/>
  <c r="AC38" i="16"/>
  <c r="AC39" i="16"/>
  <c r="AC40" i="16"/>
  <c r="AC41" i="16"/>
  <c r="AC42" i="16"/>
  <c r="AC43" i="16"/>
  <c r="AC44" i="16"/>
  <c r="AC45" i="16"/>
  <c r="AC46" i="16"/>
  <c r="AC47" i="16"/>
  <c r="AC48" i="16"/>
  <c r="AC49" i="16"/>
  <c r="AC50" i="16"/>
  <c r="AC51" i="16"/>
  <c r="AC52" i="16"/>
  <c r="AC53" i="16"/>
  <c r="AC54" i="16"/>
  <c r="AC55" i="16"/>
  <c r="AC11" i="16"/>
  <c r="AB12" i="16"/>
  <c r="M13" i="16"/>
  <c r="N3" i="8"/>
  <c r="N4" i="8"/>
  <c r="O11" i="8"/>
  <c r="P12" i="8"/>
  <c r="P13" i="8"/>
  <c r="P14" i="8"/>
  <c r="P15" i="8"/>
  <c r="P16" i="8"/>
  <c r="P17" i="8"/>
  <c r="P18" i="8"/>
  <c r="P11" i="8"/>
  <c r="N11" i="8"/>
  <c r="N12" i="8"/>
  <c r="O12" i="8" s="1"/>
  <c r="N13" i="8"/>
  <c r="O13" i="8" s="1"/>
  <c r="N14" i="8"/>
  <c r="N15" i="8"/>
  <c r="N16" i="8"/>
  <c r="N17" i="8"/>
  <c r="O17" i="8" s="1"/>
  <c r="N18" i="8"/>
  <c r="O18" i="8" s="1"/>
  <c r="O14" i="8"/>
  <c r="O15" i="8"/>
  <c r="O16" i="8"/>
  <c r="L10" i="8"/>
  <c r="L11" i="8"/>
  <c r="L12" i="8"/>
  <c r="L13" i="8"/>
  <c r="L14" i="8"/>
  <c r="L15" i="8"/>
  <c r="L16" i="8"/>
  <c r="L17" i="8"/>
  <c r="L18" i="8"/>
  <c r="L20" i="8"/>
  <c r="L21" i="8"/>
  <c r="L22" i="8"/>
  <c r="K11" i="16" l="1"/>
  <c r="K12" i="16"/>
  <c r="K13" i="16"/>
  <c r="Z54" i="16"/>
  <c r="Z45" i="16"/>
  <c r="Z21" i="16"/>
  <c r="Z36" i="16"/>
  <c r="Z51" i="16"/>
  <c r="Z43" i="16"/>
  <c r="Z35" i="16"/>
  <c r="Z27" i="16"/>
  <c r="Z19" i="16"/>
  <c r="Z53" i="16"/>
  <c r="Z29" i="16"/>
  <c r="Z13" i="16"/>
  <c r="Z44" i="16"/>
  <c r="Z12" i="16"/>
  <c r="Z50" i="16"/>
  <c r="Z34" i="16"/>
  <c r="Z26" i="16"/>
  <c r="Z49" i="16"/>
  <c r="Z41" i="16"/>
  <c r="Z33" i="16"/>
  <c r="Z25" i="16"/>
  <c r="Z17" i="16"/>
  <c r="Z46" i="16"/>
  <c r="Z52" i="16"/>
  <c r="Z20" i="16"/>
  <c r="Z42" i="16"/>
  <c r="Z18" i="16"/>
  <c r="Z11" i="16"/>
  <c r="Z40" i="16"/>
  <c r="Z32" i="16"/>
  <c r="Z24" i="16"/>
  <c r="Z16" i="16"/>
  <c r="Z38" i="16"/>
  <c r="Z30" i="16"/>
  <c r="Z22" i="16"/>
  <c r="Z14" i="16"/>
  <c r="Z37" i="16"/>
  <c r="Z28" i="16"/>
  <c r="Z48" i="16"/>
  <c r="Z55" i="16"/>
  <c r="Z47" i="16"/>
  <c r="Z39" i="16"/>
  <c r="Z31" i="16"/>
  <c r="Z23" i="16"/>
  <c r="K34" i="16"/>
  <c r="K41" i="16"/>
  <c r="K48" i="16"/>
  <c r="K40" i="16"/>
  <c r="K32" i="16"/>
  <c r="K24" i="16"/>
  <c r="K16" i="16"/>
  <c r="K47" i="16"/>
  <c r="K39" i="16"/>
  <c r="K31" i="16"/>
  <c r="K23" i="16"/>
  <c r="K15" i="16"/>
  <c r="K42" i="16"/>
  <c r="K17" i="16"/>
  <c r="K30" i="16"/>
  <c r="K26" i="16"/>
  <c r="K25" i="16"/>
  <c r="K21" i="16"/>
  <c r="K50" i="16"/>
  <c r="K49" i="16"/>
  <c r="K33" i="16"/>
  <c r="K46" i="16"/>
  <c r="K38" i="16"/>
  <c r="K14" i="16"/>
  <c r="K45" i="16"/>
  <c r="K37" i="16"/>
  <c r="K29" i="16"/>
  <c r="K44" i="16"/>
  <c r="K36" i="16"/>
  <c r="K28" i="16"/>
  <c r="K20" i="16"/>
  <c r="M6" i="8"/>
  <c r="L14" i="16" l="1"/>
  <c r="M14" i="16" s="1"/>
  <c r="L11" i="16"/>
  <c r="M11" i="16" s="1"/>
  <c r="L39" i="16"/>
  <c r="M39" i="16" s="1"/>
  <c r="L12" i="16"/>
  <c r="M12" i="16" s="1"/>
  <c r="L17" i="16"/>
  <c r="M17" i="16" s="1"/>
  <c r="L21" i="16"/>
  <c r="M21" i="16" s="1"/>
  <c r="L23" i="16"/>
  <c r="M23" i="16" s="1"/>
  <c r="AA11" i="16"/>
  <c r="AB11" i="16" s="1"/>
  <c r="AA20" i="16"/>
  <c r="AB20" i="16" s="1"/>
  <c r="AA28" i="16"/>
  <c r="AB28" i="16" s="1"/>
  <c r="AA36" i="16"/>
  <c r="AB36" i="16" s="1"/>
  <c r="AA44" i="16"/>
  <c r="AB44" i="16" s="1"/>
  <c r="AA52" i="16"/>
  <c r="AB52" i="16" s="1"/>
  <c r="AA55" i="16"/>
  <c r="AB55" i="16" s="1"/>
  <c r="AA42" i="16"/>
  <c r="AB42" i="16" s="1"/>
  <c r="AA35" i="16"/>
  <c r="AB35" i="16" s="1"/>
  <c r="AA13" i="16"/>
  <c r="AB13" i="16" s="1"/>
  <c r="AA21" i="16"/>
  <c r="AB21" i="16" s="1"/>
  <c r="AA29" i="16"/>
  <c r="AB29" i="16" s="1"/>
  <c r="AA37" i="16"/>
  <c r="AB37" i="16" s="1"/>
  <c r="AA45" i="16"/>
  <c r="AB45" i="16" s="1"/>
  <c r="AA53" i="16"/>
  <c r="AB53" i="16" s="1"/>
  <c r="AA18" i="16"/>
  <c r="AB18" i="16" s="1"/>
  <c r="AA50" i="16"/>
  <c r="AB50" i="16" s="1"/>
  <c r="AA27" i="16"/>
  <c r="AB27" i="16" s="1"/>
  <c r="AA43" i="16"/>
  <c r="AB43" i="16" s="1"/>
  <c r="AA14" i="16"/>
  <c r="AB14" i="16" s="1"/>
  <c r="AA22" i="16"/>
  <c r="AB22" i="16" s="1"/>
  <c r="AA30" i="16"/>
  <c r="AB30" i="16" s="1"/>
  <c r="AA38" i="16"/>
  <c r="AB38" i="16" s="1"/>
  <c r="AA46" i="16"/>
  <c r="AB46" i="16" s="1"/>
  <c r="AA54" i="16"/>
  <c r="AB54" i="16" s="1"/>
  <c r="AA15" i="16"/>
  <c r="AB15" i="16" s="1"/>
  <c r="AA23" i="16"/>
  <c r="AB23" i="16" s="1"/>
  <c r="AA31" i="16"/>
  <c r="AB31" i="16" s="1"/>
  <c r="AA39" i="16"/>
  <c r="AB39" i="16" s="1"/>
  <c r="AA47" i="16"/>
  <c r="AB47" i="16" s="1"/>
  <c r="AA26" i="16"/>
  <c r="AB26" i="16" s="1"/>
  <c r="AA16" i="16"/>
  <c r="AB16" i="16" s="1"/>
  <c r="AA24" i="16"/>
  <c r="AB24" i="16" s="1"/>
  <c r="AA32" i="16"/>
  <c r="AB32" i="16" s="1"/>
  <c r="AA40" i="16"/>
  <c r="AB40" i="16" s="1"/>
  <c r="AA48" i="16"/>
  <c r="AB48" i="16" s="1"/>
  <c r="AA17" i="16"/>
  <c r="AB17" i="16" s="1"/>
  <c r="AA25" i="16"/>
  <c r="AB25" i="16" s="1"/>
  <c r="AA33" i="16"/>
  <c r="AB33" i="16" s="1"/>
  <c r="AA41" i="16"/>
  <c r="AB41" i="16" s="1"/>
  <c r="AA49" i="16"/>
  <c r="AB49" i="16" s="1"/>
  <c r="AA34" i="16"/>
  <c r="AB34" i="16" s="1"/>
  <c r="AA19" i="16"/>
  <c r="AB19" i="16" s="1"/>
  <c r="AA51" i="16"/>
  <c r="AB51" i="16" s="1"/>
  <c r="L47" i="16"/>
  <c r="M47" i="16" s="1"/>
  <c r="L28" i="16"/>
  <c r="M28" i="16" s="1"/>
  <c r="L24" i="16"/>
  <c r="M24" i="16" s="1"/>
  <c r="L18" i="16"/>
  <c r="M18" i="16" s="1"/>
  <c r="L36" i="16"/>
  <c r="M36" i="16" s="1"/>
  <c r="L37" i="16"/>
  <c r="M37" i="16" s="1"/>
  <c r="L38" i="16"/>
  <c r="M38" i="16" s="1"/>
  <c r="L48" i="16"/>
  <c r="M48" i="16" s="1"/>
  <c r="L27" i="16"/>
  <c r="M27" i="16" s="1"/>
  <c r="L44" i="16"/>
  <c r="M44" i="16" s="1"/>
  <c r="L45" i="16"/>
  <c r="M45" i="16" s="1"/>
  <c r="L46" i="16"/>
  <c r="M46" i="16" s="1"/>
  <c r="L16" i="16"/>
  <c r="M16" i="16" s="1"/>
  <c r="L22" i="16"/>
  <c r="M22" i="16" s="1"/>
  <c r="L30" i="16"/>
  <c r="M30" i="16" s="1"/>
  <c r="L15" i="16"/>
  <c r="M15" i="16" s="1"/>
  <c r="L20" i="16"/>
  <c r="M20" i="16" s="1"/>
  <c r="L29" i="16"/>
  <c r="M29" i="16" s="1"/>
  <c r="L32" i="16"/>
  <c r="M32" i="16" s="1"/>
  <c r="L49" i="16"/>
  <c r="M49" i="16" s="1"/>
  <c r="L25" i="16"/>
  <c r="M25" i="16" s="1"/>
  <c r="L35" i="16"/>
  <c r="M35" i="16" s="1"/>
  <c r="L40" i="16"/>
  <c r="M40" i="16" s="1"/>
  <c r="L19" i="16"/>
  <c r="M19" i="16" s="1"/>
  <c r="L43" i="16"/>
  <c r="M43" i="16" s="1"/>
  <c r="L33" i="16"/>
  <c r="M33" i="16" s="1"/>
  <c r="L41" i="16"/>
  <c r="M41" i="16" s="1"/>
  <c r="L26" i="16"/>
  <c r="M26" i="16" s="1"/>
  <c r="L51" i="16"/>
  <c r="M51" i="16" s="1"/>
  <c r="L34" i="16"/>
  <c r="M34" i="16" s="1"/>
  <c r="L42" i="16"/>
  <c r="M42" i="16" s="1"/>
  <c r="L31" i="16"/>
  <c r="M31" i="16" s="1"/>
  <c r="L50" i="16"/>
  <c r="M50" i="16" s="1"/>
  <c r="Q4" i="8"/>
  <c r="Q10" i="8"/>
  <c r="Q12" i="8"/>
  <c r="M12" i="8"/>
  <c r="B12" i="8"/>
  <c r="B13" i="8"/>
  <c r="M13" i="8" s="1"/>
  <c r="AM10" i="15"/>
  <c r="AQ10" i="15"/>
  <c r="AB10" i="15"/>
  <c r="AA10" i="15"/>
  <c r="Z10" i="15"/>
  <c r="Y10" i="15"/>
  <c r="V10" i="15"/>
  <c r="U10" i="15"/>
  <c r="T10" i="15"/>
  <c r="S10" i="15"/>
  <c r="AF10" i="15" s="1"/>
  <c r="R10" i="15"/>
  <c r="AE10" i="15" s="1"/>
  <c r="L10" i="15"/>
  <c r="K10" i="15"/>
  <c r="J10" i="15"/>
  <c r="I10" i="15"/>
  <c r="F10" i="15"/>
  <c r="E10" i="15"/>
  <c r="D10" i="15"/>
  <c r="C10" i="15"/>
  <c r="B10" i="15"/>
  <c r="AG10" i="15" l="1"/>
  <c r="AO10" i="15"/>
  <c r="AP10" i="15"/>
  <c r="G10" i="15"/>
  <c r="H10" i="15"/>
  <c r="AH10" i="15"/>
  <c r="W10" i="15"/>
  <c r="X10" i="15"/>
  <c r="AI10" i="15"/>
  <c r="AN9" i="13"/>
  <c r="AM10" i="13"/>
  <c r="AQ10" i="13"/>
  <c r="AQ9" i="13"/>
  <c r="AI10" i="14"/>
  <c r="Q16" i="8"/>
  <c r="B16" i="8"/>
  <c r="M16" i="8" s="1"/>
  <c r="AQ10" i="14"/>
  <c r="AB10" i="14"/>
  <c r="AA10" i="14"/>
  <c r="Z10" i="14"/>
  <c r="Y10" i="14"/>
  <c r="V10" i="14"/>
  <c r="U10" i="14"/>
  <c r="AH10" i="14" s="1"/>
  <c r="T10" i="14"/>
  <c r="AG10" i="14" s="1"/>
  <c r="S10" i="14"/>
  <c r="AF10" i="14" s="1"/>
  <c r="R10" i="14"/>
  <c r="AE10" i="14" s="1"/>
  <c r="L10" i="14"/>
  <c r="K10" i="14"/>
  <c r="AO10" i="14" s="1"/>
  <c r="J10" i="14"/>
  <c r="I10" i="14"/>
  <c r="F10" i="14"/>
  <c r="H10" i="14" s="1"/>
  <c r="E10" i="14"/>
  <c r="D10" i="14"/>
  <c r="C10" i="14"/>
  <c r="B10" i="14"/>
  <c r="B20" i="8"/>
  <c r="B21" i="8"/>
  <c r="Q21" i="8" s="1"/>
  <c r="B22" i="8"/>
  <c r="Q22" i="8" s="1"/>
  <c r="Q13" i="8"/>
  <c r="B14" i="8"/>
  <c r="M14" i="8" s="1"/>
  <c r="AE10" i="13"/>
  <c r="AF10" i="13"/>
  <c r="AG10" i="13"/>
  <c r="AH10" i="13"/>
  <c r="AI10" i="13"/>
  <c r="AJ10" i="13"/>
  <c r="AK10" i="13"/>
  <c r="AL10" i="13"/>
  <c r="AO10" i="13"/>
  <c r="AP10" i="13"/>
  <c r="AB10" i="13"/>
  <c r="AA10" i="13"/>
  <c r="Z10" i="13"/>
  <c r="Y10" i="13"/>
  <c r="X10" i="13"/>
  <c r="W10" i="13"/>
  <c r="V10" i="13"/>
  <c r="U10" i="13"/>
  <c r="T10" i="13"/>
  <c r="S10" i="13"/>
  <c r="R10" i="13"/>
  <c r="L10" i="13"/>
  <c r="K10" i="13"/>
  <c r="J10" i="13"/>
  <c r="I10" i="13"/>
  <c r="G8" i="9"/>
  <c r="H10" i="13"/>
  <c r="G10" i="13"/>
  <c r="F10" i="13"/>
  <c r="E10" i="13"/>
  <c r="D10" i="13"/>
  <c r="C10" i="13"/>
  <c r="B10" i="13"/>
  <c r="AM9" i="13"/>
  <c r="AE9" i="13"/>
  <c r="AF9" i="13"/>
  <c r="AG9" i="13"/>
  <c r="AH9" i="13"/>
  <c r="AI9" i="13"/>
  <c r="AJ9" i="13"/>
  <c r="AK9" i="13"/>
  <c r="AL9" i="13"/>
  <c r="AO9" i="13"/>
  <c r="AP9" i="13"/>
  <c r="AK15" i="11"/>
  <c r="Q2" i="8"/>
  <c r="AK10" i="15" l="1"/>
  <c r="AJ10" i="15"/>
  <c r="AL10" i="15" s="1"/>
  <c r="AP10" i="14"/>
  <c r="W10" i="14"/>
  <c r="G10" i="14"/>
  <c r="X10" i="14"/>
  <c r="Q14" i="8"/>
  <c r="Q20" i="8"/>
  <c r="AN10" i="13"/>
  <c r="AN15" i="11"/>
  <c r="C41" i="10"/>
  <c r="C40" i="10"/>
  <c r="C39" i="10"/>
  <c r="C38" i="10"/>
  <c r="C37" i="10"/>
  <c r="C30" i="10"/>
  <c r="C35" i="10"/>
  <c r="C27" i="10"/>
  <c r="AI8" i="9"/>
  <c r="B23" i="8"/>
  <c r="AL15" i="11"/>
  <c r="AM9" i="11"/>
  <c r="AM10" i="11"/>
  <c r="AM11" i="11"/>
  <c r="AM12" i="11"/>
  <c r="AM8" i="11"/>
  <c r="AM15" i="11"/>
  <c r="AO11" i="11"/>
  <c r="AP15" i="11"/>
  <c r="AO15" i="11"/>
  <c r="AQ15" i="11" s="1"/>
  <c r="AJ15" i="11"/>
  <c r="AI15" i="11"/>
  <c r="AH15" i="11"/>
  <c r="AG15" i="11"/>
  <c r="AF15" i="11"/>
  <c r="AE15" i="11"/>
  <c r="C3" i="4"/>
  <c r="C15" i="4"/>
  <c r="C9" i="4"/>
  <c r="H4" i="8"/>
  <c r="C24" i="4"/>
  <c r="C21" i="4"/>
  <c r="C32" i="10"/>
  <c r="C34" i="10" s="1"/>
  <c r="AQ9" i="11"/>
  <c r="AQ10" i="11"/>
  <c r="AQ11" i="11"/>
  <c r="AQ12" i="11"/>
  <c r="AQ8" i="11"/>
  <c r="AE9" i="11"/>
  <c r="AF9" i="11"/>
  <c r="AG9" i="11"/>
  <c r="AH9" i="11"/>
  <c r="AI9" i="11"/>
  <c r="AJ9" i="11"/>
  <c r="AL9" i="11" s="1"/>
  <c r="AK9" i="11"/>
  <c r="AO9" i="11"/>
  <c r="AP9" i="11"/>
  <c r="AE10" i="11"/>
  <c r="AF10" i="11"/>
  <c r="AJ10" i="11" s="1"/>
  <c r="AL10" i="11" s="1"/>
  <c r="AN10" i="11" s="1"/>
  <c r="AG10" i="11"/>
  <c r="AH10" i="11"/>
  <c r="AI10" i="11"/>
  <c r="AK10" i="11"/>
  <c r="AO10" i="11"/>
  <c r="AP10" i="11"/>
  <c r="AE11" i="11"/>
  <c r="AF11" i="11"/>
  <c r="AG11" i="11"/>
  <c r="AH11" i="11"/>
  <c r="AI11" i="11"/>
  <c r="AJ11" i="11"/>
  <c r="AL11" i="11" s="1"/>
  <c r="AN11" i="11" s="1"/>
  <c r="AK11" i="11"/>
  <c r="AP11" i="11"/>
  <c r="AE12" i="11"/>
  <c r="AF12" i="11"/>
  <c r="AG12" i="11"/>
  <c r="AH12" i="11"/>
  <c r="AI12" i="11"/>
  <c r="AK12" i="11" s="1"/>
  <c r="AO12" i="11"/>
  <c r="AP12" i="11"/>
  <c r="AP8" i="11"/>
  <c r="AO8" i="11"/>
  <c r="AI8" i="11"/>
  <c r="AK8" i="11" s="1"/>
  <c r="AH8" i="11"/>
  <c r="AG8" i="11"/>
  <c r="AF8" i="11"/>
  <c r="AE8" i="11"/>
  <c r="C24" i="10"/>
  <c r="C23" i="10"/>
  <c r="C18" i="10" s="1"/>
  <c r="C19" i="10" s="1"/>
  <c r="C22" i="10"/>
  <c r="D19" i="10"/>
  <c r="C12" i="10"/>
  <c r="C7" i="10"/>
  <c r="G18" i="8"/>
  <c r="G15" i="8"/>
  <c r="AJ8" i="7"/>
  <c r="AI8" i="7"/>
  <c r="B15" i="8"/>
  <c r="Q15" i="8" s="1"/>
  <c r="M15" i="8"/>
  <c r="B11" i="8"/>
  <c r="B17" i="8"/>
  <c r="Q17" i="8" s="1"/>
  <c r="B18" i="8"/>
  <c r="B10" i="8"/>
  <c r="AA8" i="9"/>
  <c r="Z8" i="9"/>
  <c r="Y8" i="9"/>
  <c r="X8" i="9"/>
  <c r="U8" i="9"/>
  <c r="T8" i="9"/>
  <c r="S8" i="9"/>
  <c r="R8" i="9"/>
  <c r="K8" i="9"/>
  <c r="J8" i="9"/>
  <c r="I8" i="9"/>
  <c r="H8" i="9"/>
  <c r="E8" i="9"/>
  <c r="D8" i="9"/>
  <c r="C8" i="9"/>
  <c r="B8" i="9"/>
  <c r="A8" i="9"/>
  <c r="Q8" i="9"/>
  <c r="H2" i="8" l="1"/>
  <c r="I5" i="8" s="1"/>
  <c r="AN10" i="15"/>
  <c r="AK10" i="14"/>
  <c r="AJ10" i="14"/>
  <c r="AL10" i="14" s="1"/>
  <c r="AM10" i="14" s="1"/>
  <c r="M18" i="8"/>
  <c r="Q18" i="8"/>
  <c r="Q11" i="8"/>
  <c r="M11" i="8"/>
  <c r="M17" i="8"/>
  <c r="AN9" i="11"/>
  <c r="AJ12" i="11"/>
  <c r="AL12" i="11" s="1"/>
  <c r="AN12" i="11" s="1"/>
  <c r="AJ8" i="11"/>
  <c r="AL8" i="11" s="1"/>
  <c r="AN8" i="11" s="1"/>
  <c r="C26" i="10"/>
  <c r="AE8" i="9"/>
  <c r="AD8" i="9"/>
  <c r="K9" i="7"/>
  <c r="K8" i="7"/>
  <c r="J9" i="7"/>
  <c r="J8" i="7"/>
  <c r="I9" i="7"/>
  <c r="I8" i="7"/>
  <c r="H9" i="7"/>
  <c r="H8" i="7"/>
  <c r="E9" i="7"/>
  <c r="G9" i="7" s="1"/>
  <c r="E8" i="7"/>
  <c r="G8" i="7" s="1"/>
  <c r="D9" i="7"/>
  <c r="D8" i="7"/>
  <c r="C9" i="7"/>
  <c r="C8" i="7"/>
  <c r="B9" i="7"/>
  <c r="B8" i="7"/>
  <c r="AA9" i="7"/>
  <c r="Z9" i="7"/>
  <c r="Y9" i="7"/>
  <c r="X9" i="7"/>
  <c r="T9" i="7"/>
  <c r="S9" i="7"/>
  <c r="AA8" i="7"/>
  <c r="Z8" i="7"/>
  <c r="Y8" i="7"/>
  <c r="X8" i="7"/>
  <c r="U8" i="7"/>
  <c r="W8" i="7" s="1"/>
  <c r="U9" i="7"/>
  <c r="V9" i="7" s="1"/>
  <c r="T8" i="7"/>
  <c r="S8" i="7"/>
  <c r="R9" i="7"/>
  <c r="AE9" i="7" s="1"/>
  <c r="R8" i="7"/>
  <c r="Q9" i="7"/>
  <c r="AD9" i="7" s="1"/>
  <c r="Q8" i="7"/>
  <c r="AD8" i="7" s="1"/>
  <c r="A9" i="7"/>
  <c r="A8" i="7"/>
  <c r="AE8" i="7"/>
  <c r="AN10" i="14" l="1"/>
  <c r="C42" i="10"/>
  <c r="F9" i="7"/>
  <c r="V8" i="7"/>
  <c r="F8" i="7"/>
  <c r="AN8" i="9"/>
  <c r="AO8" i="9"/>
  <c r="AF8" i="9"/>
  <c r="AG8" i="9"/>
  <c r="V8" i="9"/>
  <c r="F8" i="9"/>
  <c r="W8" i="9"/>
  <c r="AH8" i="9"/>
  <c r="AF9" i="7"/>
  <c r="AH9" i="7" s="1"/>
  <c r="AM8" i="7"/>
  <c r="AL8" i="7"/>
  <c r="W9" i="7"/>
  <c r="AL9" i="7"/>
  <c r="AM9" i="7"/>
  <c r="AF8" i="7"/>
  <c r="AL9" i="6"/>
  <c r="AL8" i="6"/>
  <c r="AA9" i="6"/>
  <c r="AA8" i="6"/>
  <c r="Z9" i="6"/>
  <c r="Z8" i="6"/>
  <c r="Y9" i="6"/>
  <c r="Y8" i="6"/>
  <c r="X9" i="6"/>
  <c r="X8" i="6"/>
  <c r="V9" i="6"/>
  <c r="V8" i="6"/>
  <c r="T9" i="6"/>
  <c r="T8" i="6"/>
  <c r="S9" i="6"/>
  <c r="S8" i="6"/>
  <c r="K9" i="6"/>
  <c r="K8" i="6"/>
  <c r="J9" i="6"/>
  <c r="J8" i="6"/>
  <c r="I9" i="6"/>
  <c r="I8" i="6"/>
  <c r="H9" i="6"/>
  <c r="H8" i="6"/>
  <c r="F9" i="6"/>
  <c r="F8" i="6"/>
  <c r="D9" i="6"/>
  <c r="D8" i="6"/>
  <c r="C9" i="6"/>
  <c r="C8" i="6"/>
  <c r="AK8" i="6"/>
  <c r="AJ9" i="6"/>
  <c r="AI8" i="6"/>
  <c r="AH8" i="6"/>
  <c r="AE9" i="6"/>
  <c r="AE8" i="6"/>
  <c r="AD9" i="6"/>
  <c r="AD8" i="6"/>
  <c r="U9" i="6"/>
  <c r="W9" i="6" s="1"/>
  <c r="R9" i="6"/>
  <c r="Q9" i="6"/>
  <c r="U8" i="6"/>
  <c r="W8" i="6" s="1"/>
  <c r="R8" i="6"/>
  <c r="Q8" i="6"/>
  <c r="G9" i="6"/>
  <c r="E9" i="6"/>
  <c r="G8" i="6"/>
  <c r="E8" i="6"/>
  <c r="B9" i="6"/>
  <c r="B8" i="6"/>
  <c r="A9" i="6"/>
  <c r="A8" i="6"/>
  <c r="AH8" i="7" l="1"/>
  <c r="AG8" i="7"/>
  <c r="AK8" i="9"/>
  <c r="AL8" i="9" s="1"/>
  <c r="AJ8" i="9"/>
  <c r="AG9" i="7"/>
  <c r="AI9" i="7" s="1"/>
  <c r="AN8" i="6"/>
  <c r="AF8" i="6"/>
  <c r="AO8" i="6"/>
  <c r="AG8" i="6"/>
  <c r="AN9" i="6"/>
  <c r="AO9" i="6"/>
  <c r="AG9" i="6"/>
  <c r="AH9" i="6"/>
  <c r="AF9" i="6"/>
  <c r="AJ9" i="7" l="1"/>
  <c r="AK9" i="7" s="1"/>
  <c r="AM8" i="9"/>
  <c r="AK8" i="7"/>
  <c r="AI9" i="6"/>
  <c r="AK9" i="6" s="1"/>
  <c r="C22" i="4" l="1"/>
  <c r="C8" i="4"/>
  <c r="C16" i="4" s="1"/>
  <c r="C18" i="4" s="1"/>
  <c r="C20" i="4" s="1"/>
  <c r="C4" i="4"/>
  <c r="O2" i="4"/>
  <c r="C14" i="4" s="1"/>
  <c r="C26" i="4" l="1"/>
  <c r="C27" i="4" l="1"/>
  <c r="C28" i="4"/>
  <c r="AM8" i="6"/>
  <c r="AM9" i="6"/>
</calcChain>
</file>

<file path=xl/sharedStrings.xml><?xml version="1.0" encoding="utf-8"?>
<sst xmlns="http://schemas.openxmlformats.org/spreadsheetml/2006/main" count="2079" uniqueCount="195">
  <si>
    <t>O photostop DISS off</t>
  </si>
  <si>
    <t>Delay (s)</t>
  </si>
  <si>
    <t>Number of Shots Taken</t>
  </si>
  <si>
    <t>Average MCP Integral</t>
  </si>
  <si>
    <t>Standard Deviation</t>
  </si>
  <si>
    <t>Total MCP Event Count</t>
  </si>
  <si>
    <t>Average MCP Event Count</t>
  </si>
  <si>
    <t>Average Dissociation Laser Maximum</t>
  </si>
  <si>
    <t>Average Probe Laser Maximum</t>
  </si>
  <si>
    <t>New Recording</t>
  </si>
  <si>
    <t>O photostop DISS on</t>
  </si>
  <si>
    <t>OFF</t>
  </si>
  <si>
    <t>ON</t>
  </si>
  <si>
    <t>BACKground subtracted</t>
  </si>
  <si>
    <t>Poisson error</t>
  </si>
  <si>
    <t>fractional poisson error</t>
  </si>
  <si>
    <t>REMPI signal</t>
  </si>
  <si>
    <t>error</t>
  </si>
  <si>
    <t>DESCRIPTION</t>
  </si>
  <si>
    <t>VALUES</t>
  </si>
  <si>
    <t>COMMENTS</t>
  </si>
  <si>
    <t>Wavelength of radiation / nm</t>
  </si>
  <si>
    <t>Wavelength of radiation needed for REMPI (measured and literature value)</t>
  </si>
  <si>
    <t>Planck's constant / J s</t>
  </si>
  <si>
    <t>Cross section sigma (2) / cm^4 s</t>
  </si>
  <si>
    <t>Taken from paper by Bamford et al., look in lab book for detail(p 84) (https://journals.aps.org/pra/abstract/10.1103/PhysRevA.34.185)</t>
  </si>
  <si>
    <t>Speed of light / m s^-1</t>
  </si>
  <si>
    <t>Cross section sigma pi / cm^2</t>
  </si>
  <si>
    <t>Taken from paper by Bamford et al., look in lab book for detail(p 84)</t>
  </si>
  <si>
    <r>
      <t xml:space="preserve">Vertical profile dimension / </t>
    </r>
    <r>
      <rPr>
        <sz val="11"/>
        <color theme="1"/>
        <rFont val="Calibri"/>
        <family val="2"/>
      </rPr>
      <t>μm</t>
    </r>
  </si>
  <si>
    <t>Measured and beam profile is fairly gaussian for a dye laser</t>
  </si>
  <si>
    <r>
      <t xml:space="preserve">Horizontal profile dimension / </t>
    </r>
    <r>
      <rPr>
        <sz val="11"/>
        <color theme="1"/>
        <rFont val="Calibri"/>
        <family val="2"/>
      </rPr>
      <t>μm</t>
    </r>
  </si>
  <si>
    <t>Laser power / mJ per pulse</t>
  </si>
  <si>
    <t>Laser width τp / s</t>
  </si>
  <si>
    <t>[A + Q] / s^-1</t>
  </si>
  <si>
    <t>decay rate of excited state taken from Bamford et al.</t>
  </si>
  <si>
    <t>MCP detection efficiency</t>
  </si>
  <si>
    <t>Estimate based on the detection efficiency of Ar+ measured by B. Brehm et al in 1995</t>
  </si>
  <si>
    <t>Length of probing cylinder in TOF mode / cm</t>
  </si>
  <si>
    <t>Both of these lengths are found using the SIMION 8.0 program with a model of our setup</t>
  </si>
  <si>
    <t>Length of probing cylinder in Hoover mode / cm</t>
  </si>
  <si>
    <t>Energy of single photon / J</t>
  </si>
  <si>
    <t>Photons per pulse</t>
  </si>
  <si>
    <t>Photons / cm^-2 s^-1</t>
  </si>
  <si>
    <t>N+ / N0</t>
  </si>
  <si>
    <t>what fraction of atomic oxygen is ionised</t>
  </si>
  <si>
    <t>MCP detection efficiency / %</t>
  </si>
  <si>
    <t>Signal of event on MCP / N0</t>
  </si>
  <si>
    <t>what fraction of atomic oxygen results in an MCP ion event</t>
  </si>
  <si>
    <t>TOF mode probing volume / cm^3</t>
  </si>
  <si>
    <t>Both TOF and hoover mode volumes are simply found as the volume of a cylinder with base defined by the measured focal point</t>
  </si>
  <si>
    <t>Hoover mode probing volume / cm^3</t>
  </si>
  <si>
    <t>the lengths of these cylinders is too small for the hyperbolae of the lasers focus to have any significant effect</t>
  </si>
  <si>
    <t>trapping volume / cm^3</t>
  </si>
  <si>
    <t>Number of atoms in probe volume for every MCP event per shot</t>
  </si>
  <si>
    <t>The number of atoms that need to be in the probing volume to measure an average of one event per shot</t>
  </si>
  <si>
    <t>Number of atoms in trap in TOF mode for every MCP event per shot</t>
  </si>
  <si>
    <t>This is found by the ratio of the trapping volume to the probing volume</t>
  </si>
  <si>
    <t>absolute density</t>
  </si>
  <si>
    <t>o photostop DISS on</t>
  </si>
  <si>
    <t>0.3 bar no2 made tup to 4.7 bar with krypton, cryo on , 400, 110, -500, -1500, -1600 V settings, 4.1 bar backing pressure 1E-6 chamber pressure , ion guage off oxygen REMPI line 391 nm DIss laser.</t>
  </si>
  <si>
    <t>o photostop DISS off</t>
  </si>
  <si>
    <t>0.3 bar no2 made tup to 4.7 bar with krypton, cryo on , 400, 110, -500, -1500, -1700 V settings, 4.0 bar backing pressure 1E-6 chamber pressure , ion guage off oxygen REMPI line 391 nm DIss laser.</t>
  </si>
  <si>
    <t>fit</t>
  </si>
  <si>
    <t>error squared sum</t>
  </si>
  <si>
    <t>Fit parameters</t>
  </si>
  <si>
    <t>0.3 bar no2 made tup to 4.6 bar with krypton, cryo on , 400, 110, -500, -1500, -1700 V settings, 3.92 bar backing pressure 1E-6 chamber pressure , ion guage off oxygen REMPI line 391 nm DIss laser.</t>
  </si>
  <si>
    <t>Delay (ms)</t>
  </si>
  <si>
    <t>decay time / ms</t>
  </si>
  <si>
    <t>amplitude / cm^-3</t>
  </si>
  <si>
    <t>decay rate / Hz</t>
  </si>
  <si>
    <t>squared errors</t>
  </si>
  <si>
    <t>absolute density / cm^-3</t>
  </si>
  <si>
    <t>Input?</t>
  </si>
  <si>
    <t>Parameter name</t>
  </si>
  <si>
    <t>Value</t>
  </si>
  <si>
    <t>Comment</t>
  </si>
  <si>
    <t>Y</t>
  </si>
  <si>
    <t>Gamma of molecule a</t>
  </si>
  <si>
    <t>Xe</t>
  </si>
  <si>
    <t>gamma of molecule b</t>
  </si>
  <si>
    <t>NO2</t>
  </si>
  <si>
    <t>partial pressure of molecule a</t>
  </si>
  <si>
    <t>partial pressure of molecule b</t>
  </si>
  <si>
    <t>N</t>
  </si>
  <si>
    <t>Gamma of gas mix</t>
  </si>
  <si>
    <t>Cp/Cv heat capacities ratio from both gases in mixture</t>
  </si>
  <si>
    <t>Temperature of Nozzle / K</t>
  </si>
  <si>
    <t>This is a bit of a guess, its fair to assume the mechanical action and current flow heat the valve a bit however</t>
  </si>
  <si>
    <t>Backing pressure in nozzle of photostop molecule / Pascal</t>
  </si>
  <si>
    <t>This is actually the partial pressure of the photostop molecule in the nozzle</t>
  </si>
  <si>
    <t>Number of NO2 molecules in the nozzle before firing/ cm^3</t>
  </si>
  <si>
    <t>effective nozzle diameter d / mm</t>
  </si>
  <si>
    <t xml:space="preserve">This is slightly lower than the nozzle diameter to account for it not opening properly </t>
  </si>
  <si>
    <t>distance from source x / mm</t>
  </si>
  <si>
    <t>This is a guess of how cloes I think I could get he nozzle and still have a good S:N ratio</t>
  </si>
  <si>
    <t>x0 / mm</t>
  </si>
  <si>
    <t>This is ignored for us as we assume the expansion starts at the nozzle</t>
  </si>
  <si>
    <t>Mach number M</t>
  </si>
  <si>
    <t>Value below should converge to zero showing that the A value is empirically correct</t>
  </si>
  <si>
    <t>Mach number squared M^2</t>
  </si>
  <si>
    <t>A</t>
  </si>
  <si>
    <t xml:space="preserve">empirical value taken from textbook it is a taken from a polynomial equation in gamma. </t>
  </si>
  <si>
    <t>-'(1/(gamma-1))</t>
  </si>
  <si>
    <t>these three values just make the equations easier to write</t>
  </si>
  <si>
    <t>(x-x0)/d</t>
  </si>
  <si>
    <t>0.5(gamma+1/gamma-1)</t>
  </si>
  <si>
    <t>n/n0</t>
  </si>
  <si>
    <t>Dissociation laser wavelength / nm</t>
  </si>
  <si>
    <t>Dissociation laser power measured / mJ</t>
  </si>
  <si>
    <t>Number of molecules in dissociation laser 'volume' at dissociation</t>
  </si>
  <si>
    <t xml:space="preserve">The dissociation volume is entirely encoorporated by the trapping volume of the magnets </t>
  </si>
  <si>
    <t>Dissociation laser peak intensity / photons*cm^-2</t>
  </si>
  <si>
    <t>absorption cross section / molecules*cm^2</t>
  </si>
  <si>
    <t>Number of photons likely to hit each molecule</t>
  </si>
  <si>
    <t>(nO) number of O atoms made by photostop assuming all photons dissociate inside diss laser volume</t>
  </si>
  <si>
    <t xml:space="preserve">number of O in correct state from photodissociation (ie 64.3%) </t>
  </si>
  <si>
    <t xml:space="preserve">Most of the O is produced in the correct state 3p2. </t>
  </si>
  <si>
    <t>number of O in probe volume at t=0</t>
  </si>
  <si>
    <t>assume the same probe and dissociation laser volumes as the SH experiment</t>
  </si>
  <si>
    <t>number of trapped O atoms in probe volume at t=0 according to simulation estimated losses (+NO distr)</t>
  </si>
  <si>
    <t>This is taken from simulations of 10^8 atoms using L. Picards program</t>
  </si>
  <si>
    <t>number of trapped atoms in trap at t=0</t>
  </si>
  <si>
    <t>use measured probe and dissociation laser volumes</t>
  </si>
  <si>
    <t>Trapped molecule partial pressure / mBar</t>
  </si>
  <si>
    <t>actual probe laser power / mJ</t>
  </si>
  <si>
    <t>% of trappable dissociated Oxygen atoms measured</t>
  </si>
  <si>
    <t>% of trappable dissociated Oxygen atoms simulated</t>
  </si>
  <si>
    <t xml:space="preserve">Therefore this data suggests photostop is </t>
  </si>
  <si>
    <t>time more efficient than simulation predicts</t>
  </si>
  <si>
    <t>Measured and converted to true power, details in this spreadsheet, this number is changed for each individual measurement</t>
  </si>
  <si>
    <t>Measured, data in another spreadsheet</t>
  </si>
  <si>
    <t>Estimate based on the detection efficiency of Ar+ measured by B. Brehm et al in 1995 and discussion with B. Hazlewood</t>
  </si>
  <si>
    <t>dissociation volume / cm^3</t>
  </si>
  <si>
    <t>from field simulations</t>
  </si>
  <si>
    <t>measured by beam profile measurements</t>
  </si>
  <si>
    <t>Density of atoms that one MCP event corresonds to / cm^-3</t>
  </si>
  <si>
    <t>Trapped molecular density in molecules per cm^-3</t>
  </si>
  <si>
    <t>REPEAT as previous data was found to be at a non-optimal REMPI laser wavelength giving a false lower density</t>
  </si>
  <si>
    <t>In this case the event counting measurement was too high for the algorithm to be reliable so this measurement was calibrated using another measurement in the early (less intense) part of the molecular beam</t>
  </si>
  <si>
    <t>This is the density of trapped atoms in the trap</t>
  </si>
  <si>
    <t>(n) density of NO2 molecules at x (ie in magnetic trap) / cm^-3</t>
  </si>
  <si>
    <t>(n0) density of molecules at x0 (molecular density in nozzle) / cm^-3</t>
  </si>
  <si>
    <t>simulation prediction fit</t>
  </si>
  <si>
    <t>Simulation prediction fit parameters</t>
  </si>
  <si>
    <t>0.3 bar no2 made tup to 4.6 bar with krypton, cryo on , 400, 110, -500, -1500, -1700 V settings, 3.6 bar backing pressure 1E-6 chamber pressure , ion guage off oxygen REMPI line 391 nm DIss laser.</t>
  </si>
  <si>
    <t>Orange numbers are just for display purposes and are not real data</t>
  </si>
  <si>
    <t>0.3 bar no2 made tup to 4.6 bar with krypton, cryo on , 400, 110, -500, -1500, -1700 V settings, 3.91 bar backing pressure 1E-6 chamber pressure , ion guage off oxygen REMPI line 391 nm DIss laser.</t>
  </si>
  <si>
    <t>weighting</t>
  </si>
  <si>
    <t>delta'</t>
  </si>
  <si>
    <t>wx^2</t>
  </si>
  <si>
    <t>wx</t>
  </si>
  <si>
    <t>parameter</t>
  </si>
  <si>
    <t>#NO2 photostop attempt new laser</t>
  </si>
  <si>
    <t>#0.3 bar no2 made tup to 4.6 bar with krypton, cryo off , 400, 110, -500, -1500, -1500 V settings, 3.7 bar backing pressure 1E-6 chamber pressure , ion guage off oxygen REMPI line 391 nm DIss laser.</t>
  </si>
  <si>
    <t>#20 November 2018</t>
  </si>
  <si>
    <t>#Current Wavelength (nm) 0.000000</t>
  </si>
  <si>
    <t>#Shots Per Point:100</t>
  </si>
  <si>
    <t>#Delay (us)</t>
  </si>
  <si>
    <t>Maximum (V)</t>
  </si>
  <si>
    <t>Photon Count</t>
  </si>
  <si>
    <t>Integral (V s)</t>
  </si>
  <si>
    <t>probe calibrated signal</t>
  </si>
  <si>
    <t>normalised signal</t>
  </si>
  <si>
    <t>background subtracted</t>
  </si>
  <si>
    <t>ln(back sub)</t>
  </si>
  <si>
    <t xml:space="preserve">baseline subtracted </t>
  </si>
  <si>
    <t>ln(laser power)</t>
  </si>
  <si>
    <t>diss calibrated signal</t>
  </si>
  <si>
    <t>LECROYWR610Zi</t>
  </si>
  <si>
    <t>Waveform</t>
  </si>
  <si>
    <t>Segments</t>
  </si>
  <si>
    <t>SegmentSize</t>
  </si>
  <si>
    <t>a</t>
  </si>
  <si>
    <t>Segment</t>
  </si>
  <si>
    <t>TrigTime</t>
  </si>
  <si>
    <t>TimeSinceSegment1</t>
  </si>
  <si>
    <t>b</t>
  </si>
  <si>
    <t>#1</t>
  </si>
  <si>
    <t>error sum:</t>
  </si>
  <si>
    <t>c</t>
  </si>
  <si>
    <t>Time / s</t>
  </si>
  <si>
    <t>Ampl</t>
  </si>
  <si>
    <t>time / ns</t>
  </si>
  <si>
    <t>megaamplitude</t>
  </si>
  <si>
    <t>d</t>
  </si>
  <si>
    <t>FWHM:</t>
  </si>
  <si>
    <t>ns</t>
  </si>
  <si>
    <t>delay time / ms</t>
  </si>
  <si>
    <t>OLD SH DATA</t>
  </si>
  <si>
    <t>SH density</t>
  </si>
  <si>
    <t>delay time / s</t>
  </si>
  <si>
    <t>scaled to fit O data</t>
  </si>
  <si>
    <t>scaled error</t>
  </si>
  <si>
    <t>0.3 bar no2 made tup to 4.6 bar with krypton, cryo off , 400, 110, -500, -1500, -1700 V settings, 3.9 bar backing pressure 1E-6 chamber pressure , ion guage off oxygen REMPI line 391 nm DIss laser.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</si>
</sst>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
    <numFmt numFmtId="166" formatCode="0.000"/>
    <numFmt numFmtId="167" formatCode="0.E+00"/>
  </numFmts>
  <fonts count="23" x14ac:knownFonts="1">
    <font>
      <sz val="11"/>
      <color theme="1"/>
      <name val="Calibri"/>
      <family val="2"/>
      <scheme val="minor"/>
    </font>
    <font>
      <b/>
      <sz val="14"/>
      <color rgb="FFFF0000"/>
      <name val="Calibri"/>
      <family val="2"/>
      <scheme val="minor"/>
    </font>
    <font>
      <b/>
      <sz val="16"/>
      <color rgb="FFFF0000"/>
      <name val="Calibri"/>
      <family val="2"/>
      <scheme val="minor"/>
    </font>
    <font>
      <b/>
      <sz val="20"/>
      <color rgb="FFFF000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theme="1"/>
      <name val="Calibri"/>
      <family val="2"/>
    </font>
    <font>
      <sz val="10"/>
      <name val="Arial"/>
      <family val="2"/>
    </font>
    <font>
      <b/>
      <sz val="17"/>
      <color rgb="FFFF0000"/>
      <name val="Calibri"/>
      <family val="2"/>
      <scheme val="minor"/>
    </font>
    <font>
      <sz val="11"/>
      <name val="Calibri"/>
      <family val="2"/>
      <scheme val="minor"/>
    </font>
    <font>
      <sz val="11"/>
      <color theme="3"/>
      <name val="Calibri"/>
      <family val="2"/>
      <scheme val="minor"/>
    </font>
    <font>
      <sz val="14"/>
      <color theme="1"/>
      <name val="Calibri"/>
      <family val="2"/>
      <scheme val="minor"/>
    </font>
    <font>
      <sz val="18"/>
      <color theme="1"/>
      <name val="Calibri"/>
      <family val="2"/>
      <scheme val="minor"/>
    </font>
    <font>
      <sz val="11"/>
      <color theme="9"/>
      <name val="Calibri"/>
      <family val="2"/>
      <scheme val="minor"/>
    </font>
    <font>
      <b/>
      <sz val="16"/>
      <color rgb="FF7030A0"/>
      <name val="Calibri"/>
      <family val="2"/>
      <scheme val="minor"/>
    </font>
    <font>
      <b/>
      <sz val="14"/>
      <color theme="1"/>
      <name val="Calibri"/>
      <family val="2"/>
      <scheme val="minor"/>
    </font>
    <font>
      <b/>
      <sz val="18"/>
      <color theme="1"/>
      <name val="Calibri"/>
      <family val="2"/>
      <scheme val="minor"/>
    </font>
    <font>
      <b/>
      <sz val="14"/>
      <color theme="3"/>
      <name val="Calibri"/>
      <family val="2"/>
      <scheme val="minor"/>
    </font>
    <font>
      <b/>
      <sz val="20"/>
      <color theme="9"/>
      <name val="Calibri"/>
      <family val="2"/>
      <scheme val="minor"/>
    </font>
    <font>
      <sz val="14"/>
      <color rgb="FF00B050"/>
      <name val="Calibri"/>
      <family val="2"/>
      <scheme val="minor"/>
    </font>
    <font>
      <sz val="18"/>
      <color theme="9"/>
      <name val="Calibri"/>
      <family val="2"/>
      <scheme val="minor"/>
    </font>
    <font>
      <sz val="11"/>
      <color theme="2" tint="-0.499984740745262"/>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F0000"/>
        <bgColor indexed="64"/>
      </patternFill>
    </fill>
    <fill>
      <patternFill patternType="solid">
        <fgColor theme="5" tint="0.79998168889431442"/>
        <bgColor indexed="64"/>
      </patternFill>
    </fill>
  </fills>
  <borders count="1">
    <border>
      <left/>
      <right/>
      <top/>
      <bottom/>
      <diagonal/>
    </border>
  </borders>
  <cellStyleXfs count="3">
    <xf numFmtId="0" fontId="0" fillId="0" borderId="0"/>
    <xf numFmtId="0" fontId="8" fillId="0" borderId="0"/>
    <xf numFmtId="0" fontId="8" fillId="0" borderId="0"/>
  </cellStyleXfs>
  <cellXfs count="62">
    <xf numFmtId="0" fontId="0" fillId="0" borderId="0" xfId="0"/>
    <xf numFmtId="11" fontId="0" fillId="0" borderId="0" xfId="0" applyNumberFormat="1"/>
    <xf numFmtId="0" fontId="1" fillId="0" borderId="0" xfId="0" applyFont="1"/>
    <xf numFmtId="0" fontId="2" fillId="0" borderId="0" xfId="0" applyFont="1"/>
    <xf numFmtId="0" fontId="3" fillId="0" borderId="0" xfId="0" applyFont="1"/>
    <xf numFmtId="1" fontId="0" fillId="0" borderId="0" xfId="0" applyNumberFormat="1"/>
    <xf numFmtId="0" fontId="0" fillId="0" borderId="0" xfId="0" applyFont="1"/>
    <xf numFmtId="11" fontId="0" fillId="0" borderId="0" xfId="0" applyNumberFormat="1" applyFont="1"/>
    <xf numFmtId="11" fontId="1" fillId="0" borderId="0" xfId="0" applyNumberFormat="1" applyFont="1"/>
    <xf numFmtId="0" fontId="4" fillId="0" borderId="0" xfId="0" applyFont="1"/>
    <xf numFmtId="0" fontId="6" fillId="0" borderId="0" xfId="0" applyFont="1"/>
    <xf numFmtId="0" fontId="7" fillId="0" borderId="0" xfId="0" applyFont="1"/>
    <xf numFmtId="2" fontId="0" fillId="0" borderId="0" xfId="0" applyNumberFormat="1"/>
    <xf numFmtId="11" fontId="5" fillId="2" borderId="0" xfId="0" applyNumberFormat="1" applyFont="1" applyFill="1"/>
    <xf numFmtId="11" fontId="0" fillId="0" borderId="0" xfId="0" applyNumberFormat="1" applyFill="1"/>
    <xf numFmtId="164" fontId="0" fillId="0" borderId="0" xfId="0" applyNumberFormat="1"/>
    <xf numFmtId="0" fontId="9" fillId="0" borderId="0" xfId="0" applyFont="1"/>
    <xf numFmtId="11" fontId="9" fillId="0" borderId="0" xfId="0" applyNumberFormat="1" applyFont="1"/>
    <xf numFmtId="0" fontId="10" fillId="0" borderId="0" xfId="0" applyFont="1"/>
    <xf numFmtId="0" fontId="11" fillId="0" borderId="0" xfId="0" applyFont="1"/>
    <xf numFmtId="1" fontId="9" fillId="0" borderId="0" xfId="0" applyNumberFormat="1" applyFont="1"/>
    <xf numFmtId="0" fontId="12" fillId="0" borderId="0" xfId="0" applyFont="1"/>
    <xf numFmtId="11" fontId="10" fillId="0" borderId="0" xfId="0" applyNumberFormat="1" applyFont="1"/>
    <xf numFmtId="1" fontId="11" fillId="0" borderId="0" xfId="0" applyNumberFormat="1" applyFont="1"/>
    <xf numFmtId="0" fontId="13" fillId="0" borderId="0" xfId="0" applyFont="1"/>
    <xf numFmtId="0" fontId="13" fillId="3" borderId="0" xfId="0" applyFont="1" applyFill="1"/>
    <xf numFmtId="0" fontId="0" fillId="3" borderId="0" xfId="0" applyFill="1"/>
    <xf numFmtId="0" fontId="0" fillId="0" borderId="0" xfId="0" applyFill="1" applyAlignment="1">
      <alignment horizontal="center"/>
    </xf>
    <xf numFmtId="0" fontId="0" fillId="0" borderId="0" xfId="0" applyFill="1"/>
    <xf numFmtId="0" fontId="0" fillId="0" borderId="0" xfId="0" applyAlignment="1">
      <alignment horizontal="center"/>
    </xf>
    <xf numFmtId="0" fontId="0" fillId="4" borderId="0" xfId="0" applyFill="1"/>
    <xf numFmtId="0" fontId="0" fillId="0" borderId="0" xfId="0" quotePrefix="1"/>
    <xf numFmtId="0" fontId="0" fillId="5" borderId="0" xfId="0" applyFill="1"/>
    <xf numFmtId="11" fontId="0" fillId="5" borderId="0" xfId="0" applyNumberFormat="1" applyFill="1"/>
    <xf numFmtId="166" fontId="0" fillId="6" borderId="0" xfId="0" applyNumberFormat="1" applyFill="1"/>
    <xf numFmtId="0" fontId="0" fillId="7" borderId="0" xfId="0" applyFill="1"/>
    <xf numFmtId="0" fontId="0" fillId="3" borderId="0" xfId="0" applyFill="1" applyAlignment="1">
      <alignment horizontal="center"/>
    </xf>
    <xf numFmtId="0" fontId="14" fillId="0" borderId="0" xfId="0" applyFont="1"/>
    <xf numFmtId="1" fontId="14" fillId="0" borderId="0" xfId="0" applyNumberFormat="1" applyFont="1"/>
    <xf numFmtId="11" fontId="14" fillId="0" borderId="0" xfId="0" applyNumberFormat="1" applyFont="1"/>
    <xf numFmtId="0" fontId="15" fillId="0" borderId="0" xfId="0" applyFont="1"/>
    <xf numFmtId="2" fontId="15" fillId="0" borderId="0" xfId="0" applyNumberFormat="1" applyFont="1"/>
    <xf numFmtId="1" fontId="15" fillId="0" borderId="0" xfId="0" applyNumberFormat="1" applyFont="1"/>
    <xf numFmtId="1" fontId="15" fillId="0" borderId="0" xfId="0" applyNumberFormat="1" applyFont="1" applyAlignment="1">
      <alignment horizontal="left"/>
    </xf>
    <xf numFmtId="166" fontId="0" fillId="0" borderId="0" xfId="0" applyNumberFormat="1"/>
    <xf numFmtId="11" fontId="16" fillId="0" borderId="0" xfId="0" applyNumberFormat="1" applyFont="1"/>
    <xf numFmtId="11" fontId="17" fillId="0" borderId="0" xfId="0" applyNumberFormat="1" applyFont="1"/>
    <xf numFmtId="11" fontId="5" fillId="0" borderId="0" xfId="0" applyNumberFormat="1" applyFont="1" applyFill="1"/>
    <xf numFmtId="0" fontId="18" fillId="0" borderId="0" xfId="0" applyFont="1"/>
    <xf numFmtId="165" fontId="18" fillId="0" borderId="0" xfId="0" applyNumberFormat="1" applyFont="1"/>
    <xf numFmtId="0" fontId="19" fillId="0" borderId="0" xfId="0" applyFont="1"/>
    <xf numFmtId="0" fontId="20" fillId="0" borderId="0" xfId="0" applyFont="1"/>
    <xf numFmtId="1" fontId="18" fillId="0" borderId="0" xfId="0" applyNumberFormat="1" applyFont="1"/>
    <xf numFmtId="167" fontId="11" fillId="0" borderId="0" xfId="0" applyNumberFormat="1" applyFont="1"/>
    <xf numFmtId="20" fontId="0" fillId="0" borderId="0" xfId="0" applyNumberFormat="1"/>
    <xf numFmtId="22" fontId="0" fillId="0" borderId="0" xfId="0" applyNumberFormat="1"/>
    <xf numFmtId="0" fontId="21" fillId="0" borderId="0" xfId="0" applyFont="1"/>
    <xf numFmtId="2" fontId="21" fillId="0" borderId="0" xfId="0" applyNumberFormat="1" applyFont="1"/>
    <xf numFmtId="0" fontId="22" fillId="0" borderId="0" xfId="0" applyFont="1"/>
    <xf numFmtId="11" fontId="22" fillId="0" borderId="0" xfId="0" applyNumberFormat="1" applyFont="1"/>
    <xf numFmtId="1" fontId="22" fillId="0" borderId="0" xfId="0" applyNumberFormat="1" applyFont="1"/>
    <xf numFmtId="166" fontId="14" fillId="0" borderId="0" xfId="0" applyNumberFormat="1" applyFont="1"/>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93014500236651"/>
          <c:y val="4.9213296476238344E-2"/>
          <c:w val="0.87165160707370593"/>
          <c:h val="0.74574817110627134"/>
        </c:manualLayout>
      </c:layout>
      <c:scatterChart>
        <c:scatterStyle val="lineMarker"/>
        <c:varyColors val="0"/>
        <c:ser>
          <c:idx val="0"/>
          <c:order val="0"/>
          <c:tx>
            <c:v>Data</c:v>
          </c:tx>
          <c:spPr>
            <a:ln w="28575">
              <a:noFill/>
            </a:ln>
          </c:spPr>
          <c:errBars>
            <c:errDir val="y"/>
            <c:errBarType val="both"/>
            <c:errValType val="cust"/>
            <c:noEndCap val="0"/>
            <c:plus>
              <c:numRef>
                <c:f>'summary of data'!$I$11:$I$45</c:f>
                <c:numCache>
                  <c:formatCode>General</c:formatCode>
                  <c:ptCount val="35"/>
                  <c:pt idx="0">
                    <c:v>2068.3628791873052</c:v>
                  </c:pt>
                  <c:pt idx="1">
                    <c:v>2962.5</c:v>
                  </c:pt>
                  <c:pt idx="2">
                    <c:v>768.04797213455356</c:v>
                  </c:pt>
                  <c:pt idx="3">
                    <c:v>815.02096510072613</c:v>
                  </c:pt>
                  <c:pt idx="4">
                    <c:v>771.57521506331454</c:v>
                  </c:pt>
                  <c:pt idx="5">
                    <c:v>2872.8796528918506</c:v>
                  </c:pt>
                  <c:pt idx="6">
                    <c:v>1447.7368821716193</c:v>
                  </c:pt>
                  <c:pt idx="7">
                    <c:v>513.86152479696955</c:v>
                  </c:pt>
                  <c:pt idx="8">
                    <c:v>452.18689098093057</c:v>
                  </c:pt>
                  <c:pt idx="12">
                    <c:v>119867.191433482</c:v>
                  </c:pt>
                  <c:pt idx="13">
                    <c:v>116775.09751655103</c:v>
                  </c:pt>
                </c:numCache>
              </c:numRef>
            </c:plus>
            <c:minus>
              <c:numRef>
                <c:f>'summary of data'!$I$11:$I$64</c:f>
                <c:numCache>
                  <c:formatCode>General</c:formatCode>
                  <c:ptCount val="54"/>
                  <c:pt idx="0">
                    <c:v>2068.3628791873052</c:v>
                  </c:pt>
                  <c:pt idx="1">
                    <c:v>2962.5</c:v>
                  </c:pt>
                  <c:pt idx="2">
                    <c:v>768.04797213455356</c:v>
                  </c:pt>
                  <c:pt idx="3">
                    <c:v>815.02096510072613</c:v>
                  </c:pt>
                  <c:pt idx="4">
                    <c:v>771.57521506331454</c:v>
                  </c:pt>
                  <c:pt idx="5">
                    <c:v>2872.8796528918506</c:v>
                  </c:pt>
                  <c:pt idx="6">
                    <c:v>1447.7368821716193</c:v>
                  </c:pt>
                  <c:pt idx="7">
                    <c:v>513.86152479696955</c:v>
                  </c:pt>
                  <c:pt idx="8">
                    <c:v>452.18689098093057</c:v>
                  </c:pt>
                  <c:pt idx="12">
                    <c:v>119867.191433482</c:v>
                  </c:pt>
                  <c:pt idx="13">
                    <c:v>116775.09751655103</c:v>
                  </c:pt>
                </c:numCache>
              </c:numRef>
            </c:minus>
            <c:spPr>
              <a:ln w="19050">
                <a:solidFill>
                  <a:schemeClr val="accent1"/>
                </a:solidFill>
              </a:ln>
            </c:spPr>
          </c:errBars>
          <c:xVal>
            <c:numRef>
              <c:f>'summary of data'!$B$11:$B$77</c:f>
              <c:numCache>
                <c:formatCode>General</c:formatCode>
                <c:ptCount val="67"/>
                <c:pt idx="0">
                  <c:v>12</c:v>
                </c:pt>
                <c:pt idx="1">
                  <c:v>15</c:v>
                </c:pt>
                <c:pt idx="2">
                  <c:v>18</c:v>
                </c:pt>
                <c:pt idx="3">
                  <c:v>19</c:v>
                </c:pt>
                <c:pt idx="4">
                  <c:v>27</c:v>
                </c:pt>
                <c:pt idx="5">
                  <c:v>37</c:v>
                </c:pt>
                <c:pt idx="6">
                  <c:v>47</c:v>
                </c:pt>
                <c:pt idx="7">
                  <c:v>64</c:v>
                </c:pt>
                <c:pt idx="8">
                  <c:v>79</c:v>
                </c:pt>
                <c:pt idx="9">
                  <c:v>100</c:v>
                </c:pt>
                <c:pt idx="10">
                  <c:v>150</c:v>
                </c:pt>
                <c:pt idx="11">
                  <c:v>200</c:v>
                </c:pt>
                <c:pt idx="12">
                  <c:v>0</c:v>
                </c:pt>
                <c:pt idx="13">
                  <c:v>0</c:v>
                </c:pt>
              </c:numCache>
            </c:numRef>
          </c:xVal>
          <c:yVal>
            <c:numRef>
              <c:f>'summary of data'!$H$11:$H$70</c:f>
              <c:numCache>
                <c:formatCode>0</c:formatCode>
                <c:ptCount val="60"/>
                <c:pt idx="0">
                  <c:v>2775</c:v>
                </c:pt>
                <c:pt idx="1">
                  <c:v>3258.75</c:v>
                </c:pt>
                <c:pt idx="2">
                  <c:v>1707.75</c:v>
                </c:pt>
                <c:pt idx="3">
                  <c:v>2325.090909090909</c:v>
                </c:pt>
                <c:pt idx="4">
                  <c:v>2363</c:v>
                </c:pt>
                <c:pt idx="5">
                  <c:v>3368.75</c:v>
                </c:pt>
                <c:pt idx="6">
                  <c:v>2279.6000000000004</c:v>
                </c:pt>
                <c:pt idx="7">
                  <c:v>1019.3333333333333</c:v>
                </c:pt>
                <c:pt idx="8">
                  <c:v>814</c:v>
                </c:pt>
                <c:pt idx="12">
                  <c:v>4588413.8666666672</c:v>
                </c:pt>
                <c:pt idx="13">
                  <c:v>1944050</c:v>
                </c:pt>
              </c:numCache>
            </c:numRef>
          </c:yVal>
          <c:smooth val="0"/>
        </c:ser>
        <c:ser>
          <c:idx val="1"/>
          <c:order val="1"/>
          <c:tx>
            <c:v>Exponential fit</c:v>
          </c:tx>
          <c:spPr>
            <a:ln>
              <a:solidFill>
                <a:schemeClr val="accent6"/>
              </a:solidFill>
              <a:prstDash val="dash"/>
            </a:ln>
          </c:spPr>
          <c:marker>
            <c:symbol val="none"/>
          </c:marker>
          <c:xVal>
            <c:numRef>
              <c:f>'summary of data'!$B$10:$B$36</c:f>
              <c:numCache>
                <c:formatCode>General</c:formatCode>
                <c:ptCount val="27"/>
                <c:pt idx="0">
                  <c:v>0</c:v>
                </c:pt>
                <c:pt idx="1">
                  <c:v>12</c:v>
                </c:pt>
                <c:pt idx="2">
                  <c:v>15</c:v>
                </c:pt>
                <c:pt idx="3">
                  <c:v>18</c:v>
                </c:pt>
                <c:pt idx="4">
                  <c:v>19</c:v>
                </c:pt>
                <c:pt idx="5">
                  <c:v>27</c:v>
                </c:pt>
                <c:pt idx="6">
                  <c:v>37</c:v>
                </c:pt>
                <c:pt idx="7">
                  <c:v>47</c:v>
                </c:pt>
                <c:pt idx="8">
                  <c:v>64</c:v>
                </c:pt>
                <c:pt idx="9">
                  <c:v>79</c:v>
                </c:pt>
                <c:pt idx="10">
                  <c:v>100</c:v>
                </c:pt>
                <c:pt idx="11">
                  <c:v>150</c:v>
                </c:pt>
                <c:pt idx="12">
                  <c:v>200</c:v>
                </c:pt>
                <c:pt idx="13">
                  <c:v>0</c:v>
                </c:pt>
                <c:pt idx="14">
                  <c:v>0</c:v>
                </c:pt>
              </c:numCache>
            </c:numRef>
          </c:xVal>
          <c:yVal>
            <c:numRef>
              <c:f>'summary of data'!$L$10:$L$72</c:f>
              <c:numCache>
                <c:formatCode>0</c:formatCode>
                <c:ptCount val="63"/>
                <c:pt idx="0">
                  <c:v>3024.7908141380008</c:v>
                </c:pt>
                <c:pt idx="1">
                  <c:v>2610.8091694511354</c:v>
                </c:pt>
                <c:pt idx="2">
                  <c:v>2516.4892255036621</c:v>
                </c:pt>
                <c:pt idx="3">
                  <c:v>2425.576750753994</c:v>
                </c:pt>
                <c:pt idx="4">
                  <c:v>2396.0084015487464</c:v>
                </c:pt>
                <c:pt idx="5">
                  <c:v>2172.075210643045</c:v>
                </c:pt>
                <c:pt idx="6">
                  <c:v>1921.3567583727565</c:v>
                </c:pt>
                <c:pt idx="7">
                  <c:v>1699.5782534858731</c:v>
                </c:pt>
                <c:pt idx="8">
                  <c:v>1379.7090913383547</c:v>
                </c:pt>
                <c:pt idx="9">
                  <c:v>1147.8555959817234</c:v>
                </c:pt>
                <c:pt idx="10">
                  <c:v>887.21091793341941</c:v>
                </c:pt>
                <c:pt idx="11">
                  <c:v>480.49917198093834</c:v>
                </c:pt>
                <c:pt idx="12">
                  <c:v>260.23062792346485</c:v>
                </c:pt>
              </c:numCache>
            </c:numRef>
          </c:yVal>
          <c:smooth val="0"/>
        </c:ser>
        <c:ser>
          <c:idx val="2"/>
          <c:order val="2"/>
          <c:tx>
            <c:v>Simulation expected data based on zero delay measurement</c:v>
          </c:tx>
          <c:spPr>
            <a:ln w="28575">
              <a:solidFill>
                <a:srgbClr val="00B050"/>
              </a:solidFill>
            </a:ln>
          </c:spPr>
          <c:marker>
            <c:symbol val="none"/>
          </c:marker>
          <c:xVal>
            <c:numRef>
              <c:f>'summary of data'!$B$10:$B$23</c:f>
              <c:numCache>
                <c:formatCode>General</c:formatCode>
                <c:ptCount val="14"/>
                <c:pt idx="0">
                  <c:v>0</c:v>
                </c:pt>
                <c:pt idx="1">
                  <c:v>12</c:v>
                </c:pt>
                <c:pt idx="2">
                  <c:v>15</c:v>
                </c:pt>
                <c:pt idx="3">
                  <c:v>18</c:v>
                </c:pt>
                <c:pt idx="4">
                  <c:v>19</c:v>
                </c:pt>
                <c:pt idx="5">
                  <c:v>27</c:v>
                </c:pt>
                <c:pt idx="6">
                  <c:v>37</c:v>
                </c:pt>
                <c:pt idx="7">
                  <c:v>47</c:v>
                </c:pt>
                <c:pt idx="8">
                  <c:v>64</c:v>
                </c:pt>
                <c:pt idx="9">
                  <c:v>79</c:v>
                </c:pt>
                <c:pt idx="10">
                  <c:v>100</c:v>
                </c:pt>
                <c:pt idx="11">
                  <c:v>150</c:v>
                </c:pt>
                <c:pt idx="12">
                  <c:v>200</c:v>
                </c:pt>
                <c:pt idx="13">
                  <c:v>0</c:v>
                </c:pt>
              </c:numCache>
            </c:numRef>
          </c:xVal>
          <c:yVal>
            <c:numRef>
              <c:f>'summary of data'!$Q$10:$Q$26</c:f>
              <c:numCache>
                <c:formatCode>General</c:formatCode>
                <c:ptCount val="17"/>
                <c:pt idx="0">
                  <c:v>75.708828800000006</c:v>
                </c:pt>
                <c:pt idx="1">
                  <c:v>71.29988984304174</c:v>
                </c:pt>
                <c:pt idx="2">
                  <c:v>70.238372776763555</c:v>
                </c:pt>
                <c:pt idx="3">
                  <c:v>69.192659640680503</c:v>
                </c:pt>
                <c:pt idx="4">
                  <c:v>68.847559811008963</c:v>
                </c:pt>
                <c:pt idx="5">
                  <c:v>66.14800837782532</c:v>
                </c:pt>
                <c:pt idx="6">
                  <c:v>62.921931941107189</c:v>
                </c:pt>
                <c:pt idx="7">
                  <c:v>59.853193108812491</c:v>
                </c:pt>
                <c:pt idx="8">
                  <c:v>54.975893131096925</c:v>
                </c:pt>
                <c:pt idx="9">
                  <c:v>51.003526757469807</c:v>
                </c:pt>
                <c:pt idx="10">
                  <c:v>45.919725878134827</c:v>
                </c:pt>
                <c:pt idx="11">
                  <c:v>35.762318472315656</c:v>
                </c:pt>
                <c:pt idx="12">
                  <c:v>27.851721630688402</c:v>
                </c:pt>
              </c:numCache>
            </c:numRef>
          </c:yVal>
          <c:smooth val="0"/>
        </c:ser>
        <c:ser>
          <c:idx val="3"/>
          <c:order val="3"/>
          <c:tx>
            <c:v>old SH data (scaled)</c:v>
          </c:tx>
          <c:spPr>
            <a:ln w="28575">
              <a:noFill/>
            </a:ln>
          </c:spPr>
          <c:errBars>
            <c:errDir val="y"/>
            <c:errBarType val="both"/>
            <c:errValType val="cust"/>
            <c:noEndCap val="0"/>
            <c:plus>
              <c:numRef>
                <c:f>'summary of data'!$AB$10:$AB$19</c:f>
                <c:numCache>
                  <c:formatCode>General</c:formatCode>
                  <c:ptCount val="10"/>
                  <c:pt idx="0">
                    <c:v>1782.0000000000002</c:v>
                  </c:pt>
                  <c:pt idx="1">
                    <c:v>1422</c:v>
                  </c:pt>
                  <c:pt idx="2">
                    <c:v>756</c:v>
                  </c:pt>
                  <c:pt idx="3">
                    <c:v>2658</c:v>
                  </c:pt>
                  <c:pt idx="4">
                    <c:v>882</c:v>
                  </c:pt>
                  <c:pt idx="5">
                    <c:v>894</c:v>
                  </c:pt>
                  <c:pt idx="6">
                    <c:v>318.59999999999997</c:v>
                  </c:pt>
                  <c:pt idx="7">
                    <c:v>497.4</c:v>
                  </c:pt>
                  <c:pt idx="8">
                    <c:v>498</c:v>
                  </c:pt>
                  <c:pt idx="9">
                    <c:v>213</c:v>
                  </c:pt>
                </c:numCache>
              </c:numRef>
            </c:plus>
            <c:minus>
              <c:numRef>
                <c:f>'summary of data'!$AB$10:$AB$19</c:f>
                <c:numCache>
                  <c:formatCode>General</c:formatCode>
                  <c:ptCount val="10"/>
                  <c:pt idx="0">
                    <c:v>1782.0000000000002</c:v>
                  </c:pt>
                  <c:pt idx="1">
                    <c:v>1422</c:v>
                  </c:pt>
                  <c:pt idx="2">
                    <c:v>756</c:v>
                  </c:pt>
                  <c:pt idx="3">
                    <c:v>2658</c:v>
                  </c:pt>
                  <c:pt idx="4">
                    <c:v>882</c:v>
                  </c:pt>
                  <c:pt idx="5">
                    <c:v>894</c:v>
                  </c:pt>
                  <c:pt idx="6">
                    <c:v>318.59999999999997</c:v>
                  </c:pt>
                  <c:pt idx="7">
                    <c:v>497.4</c:v>
                  </c:pt>
                  <c:pt idx="8">
                    <c:v>498</c:v>
                  </c:pt>
                  <c:pt idx="9">
                    <c:v>213</c:v>
                  </c:pt>
                </c:numCache>
              </c:numRef>
            </c:minus>
            <c:spPr>
              <a:ln w="15875">
                <a:solidFill>
                  <a:schemeClr val="accent4">
                    <a:lumMod val="60000"/>
                    <a:lumOff val="40000"/>
                  </a:schemeClr>
                </a:solidFill>
              </a:ln>
            </c:spPr>
          </c:errBars>
          <c:errBars>
            <c:errDir val="x"/>
            <c:errBarType val="both"/>
            <c:errValType val="fixedVal"/>
            <c:noEndCap val="0"/>
            <c:val val="1"/>
          </c:errBars>
          <c:xVal>
            <c:numRef>
              <c:f>'summary of data'!$W$10:$W$19</c:f>
              <c:numCache>
                <c:formatCode>0</c:formatCode>
                <c:ptCount val="10"/>
                <c:pt idx="0">
                  <c:v>5</c:v>
                </c:pt>
                <c:pt idx="1">
                  <c:v>11</c:v>
                </c:pt>
                <c:pt idx="2">
                  <c:v>17</c:v>
                </c:pt>
                <c:pt idx="3">
                  <c:v>23</c:v>
                </c:pt>
                <c:pt idx="4">
                  <c:v>28.5</c:v>
                </c:pt>
                <c:pt idx="5">
                  <c:v>39</c:v>
                </c:pt>
                <c:pt idx="6">
                  <c:v>51.8</c:v>
                </c:pt>
                <c:pt idx="7">
                  <c:v>66.600000000000009</c:v>
                </c:pt>
                <c:pt idx="8">
                  <c:v>75.099999999999994</c:v>
                </c:pt>
                <c:pt idx="9">
                  <c:v>80</c:v>
                </c:pt>
              </c:numCache>
            </c:numRef>
          </c:xVal>
          <c:yVal>
            <c:numRef>
              <c:f>'summary of data'!$Z$10:$Z$19</c:f>
              <c:numCache>
                <c:formatCode>0.00E+00</c:formatCode>
                <c:ptCount val="10"/>
                <c:pt idx="0">
                  <c:v>3084</c:v>
                </c:pt>
                <c:pt idx="1">
                  <c:v>3492</c:v>
                </c:pt>
                <c:pt idx="2">
                  <c:v>2574</c:v>
                </c:pt>
                <c:pt idx="3">
                  <c:v>2982</c:v>
                </c:pt>
                <c:pt idx="4">
                  <c:v>1722</c:v>
                </c:pt>
                <c:pt idx="5">
                  <c:v>1104</c:v>
                </c:pt>
                <c:pt idx="6">
                  <c:v>648</c:v>
                </c:pt>
                <c:pt idx="7">
                  <c:v>684</c:v>
                </c:pt>
                <c:pt idx="8">
                  <c:v>948.00000000000011</c:v>
                </c:pt>
                <c:pt idx="9">
                  <c:v>445.2</c:v>
                </c:pt>
              </c:numCache>
            </c:numRef>
          </c:yVal>
          <c:smooth val="0"/>
        </c:ser>
        <c:dLbls>
          <c:showLegendKey val="0"/>
          <c:showVal val="0"/>
          <c:showCatName val="0"/>
          <c:showSerName val="0"/>
          <c:showPercent val="0"/>
          <c:showBubbleSize val="0"/>
        </c:dLbls>
        <c:axId val="226102272"/>
        <c:axId val="76500992"/>
      </c:scatterChart>
      <c:valAx>
        <c:axId val="226102272"/>
        <c:scaling>
          <c:orientation val="minMax"/>
          <c:max val="150"/>
          <c:min val="0"/>
        </c:scaling>
        <c:delete val="0"/>
        <c:axPos val="b"/>
        <c:title>
          <c:tx>
            <c:rich>
              <a:bodyPr/>
              <a:lstStyle/>
              <a:p>
                <a:pPr>
                  <a:defRPr/>
                </a:pPr>
                <a:r>
                  <a:rPr lang="en-GB"/>
                  <a:t>Laser delay time / ms</a:t>
                </a:r>
              </a:p>
            </c:rich>
          </c:tx>
          <c:layout/>
          <c:overlay val="0"/>
        </c:title>
        <c:numFmt formatCode="General" sourceLinked="1"/>
        <c:majorTickMark val="out"/>
        <c:minorTickMark val="none"/>
        <c:tickLblPos val="nextTo"/>
        <c:crossAx val="76500992"/>
        <c:crosses val="autoZero"/>
        <c:crossBetween val="midCat"/>
      </c:valAx>
      <c:valAx>
        <c:axId val="76500992"/>
        <c:scaling>
          <c:logBase val="10"/>
          <c:orientation val="minMax"/>
          <c:max val="10000000"/>
          <c:min val="20"/>
        </c:scaling>
        <c:delete val="0"/>
        <c:axPos val="l"/>
        <c:title>
          <c:tx>
            <c:rich>
              <a:bodyPr rot="-5400000" vert="horz"/>
              <a:lstStyle/>
              <a:p>
                <a:pPr>
                  <a:defRPr/>
                </a:pPr>
                <a:r>
                  <a:rPr lang="en-GB"/>
                  <a:t>Trapped</a:t>
                </a:r>
                <a:r>
                  <a:rPr lang="en-GB" baseline="0"/>
                  <a:t> oxygen denasity / cm^-3</a:t>
                </a:r>
                <a:endParaRPr lang="en-GB"/>
              </a:p>
            </c:rich>
          </c:tx>
          <c:layout/>
          <c:overlay val="0"/>
        </c:title>
        <c:numFmt formatCode="0" sourceLinked="1"/>
        <c:majorTickMark val="out"/>
        <c:minorTickMark val="none"/>
        <c:tickLblPos val="nextTo"/>
        <c:crossAx val="226102272"/>
        <c:crosses val="autoZero"/>
        <c:crossBetween val="midCat"/>
      </c:valAx>
    </c:plotArea>
    <c:legend>
      <c:legendPos val="r"/>
      <c:layout>
        <c:manualLayout>
          <c:xMode val="edge"/>
          <c:yMode val="edge"/>
          <c:x val="0.53168688954864252"/>
          <c:y val="6.0618752443178645E-2"/>
          <c:w val="0.44645518695408976"/>
          <c:h val="0.40114131345283965"/>
        </c:manualLayout>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23'!$AN$8:$AN$15</c:f>
                <c:numCache>
                  <c:formatCode>General</c:formatCode>
                  <c:ptCount val="8"/>
                  <c:pt idx="2">
                    <c:v>452.18689098093057</c:v>
                  </c:pt>
                </c:numCache>
              </c:numRef>
            </c:plus>
            <c:minus>
              <c:numRef>
                <c:f>'cryo on data 23'!$AN$8:$AN$15</c:f>
                <c:numCache>
                  <c:formatCode>General</c:formatCode>
                  <c:ptCount val="8"/>
                  <c:pt idx="2">
                    <c:v>452.18689098093057</c:v>
                  </c:pt>
                </c:numCache>
              </c:numRef>
            </c:minus>
          </c:errBars>
          <c:xVal>
            <c:numRef>
              <c:f>'cryo on data 23'!$AE$8:$AE$15</c:f>
              <c:numCache>
                <c:formatCode>0.00E+00</c:formatCode>
                <c:ptCount val="8"/>
                <c:pt idx="2">
                  <c:v>7.9000000000000001E-2</c:v>
                </c:pt>
              </c:numCache>
            </c:numRef>
          </c:xVal>
          <c:yVal>
            <c:numRef>
              <c:f>'cryo on data 23'!$AM$8:$AM$15</c:f>
              <c:numCache>
                <c:formatCode>0.00E+00</c:formatCode>
                <c:ptCount val="8"/>
                <c:pt idx="2">
                  <c:v>814</c:v>
                </c:pt>
              </c:numCache>
            </c:numRef>
          </c:yVal>
          <c:smooth val="0"/>
        </c:ser>
        <c:dLbls>
          <c:showLegendKey val="0"/>
          <c:showVal val="0"/>
          <c:showCatName val="0"/>
          <c:showSerName val="0"/>
          <c:showPercent val="0"/>
          <c:showBubbleSize val="0"/>
        </c:dLbls>
        <c:axId val="78403840"/>
        <c:axId val="78406016"/>
      </c:scatterChart>
      <c:valAx>
        <c:axId val="78403840"/>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8406016"/>
        <c:crosses val="autoZero"/>
        <c:crossBetween val="midCat"/>
      </c:valAx>
      <c:valAx>
        <c:axId val="78406016"/>
        <c:scaling>
          <c:orientation val="minMax"/>
        </c:scaling>
        <c:delete val="0"/>
        <c:axPos val="l"/>
        <c:title>
          <c:tx>
            <c:rich>
              <a:bodyPr rot="-5400000" vert="horz"/>
              <a:lstStyle/>
              <a:p>
                <a:pPr>
                  <a:defRPr/>
                </a:pPr>
                <a:r>
                  <a:rPr lang="en-GB"/>
                  <a:t>absolute oxygen density</a:t>
                </a:r>
              </a:p>
            </c:rich>
          </c:tx>
          <c:overlay val="0"/>
        </c:title>
        <c:numFmt formatCode="0.0E+00" sourceLinked="0"/>
        <c:majorTickMark val="out"/>
        <c:minorTickMark val="none"/>
        <c:tickLblPos val="nextTo"/>
        <c:crossAx val="78403840"/>
        <c:crosses val="autoZero"/>
        <c:crossBetween val="midCat"/>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Dissociation laser power dependency</a:t>
            </a:r>
            <a:r>
              <a:rPr lang="en-GB" baseline="0"/>
              <a:t> </a:t>
            </a:r>
            <a:endParaRPr lang="en-GB"/>
          </a:p>
        </c:rich>
      </c:tx>
      <c:layout>
        <c:manualLayout>
          <c:xMode val="edge"/>
          <c:yMode val="edge"/>
          <c:x val="0.28054496150066549"/>
          <c:y val="3.2220269478617461E-2"/>
        </c:manualLayout>
      </c:layout>
      <c:overlay val="1"/>
    </c:title>
    <c:autoTitleDeleted val="0"/>
    <c:plotArea>
      <c:layout/>
      <c:scatterChart>
        <c:scatterStyle val="lineMarker"/>
        <c:varyColors val="0"/>
        <c:ser>
          <c:idx val="0"/>
          <c:order val="0"/>
          <c:spPr>
            <a:ln w="28575">
              <a:noFill/>
            </a:ln>
          </c:spPr>
          <c:trendline>
            <c:trendlineType val="power"/>
            <c:dispRSqr val="1"/>
            <c:dispEq val="1"/>
            <c:trendlineLbl>
              <c:numFmt formatCode="General" sourceLinked="0"/>
            </c:trendlineLbl>
          </c:trendline>
          <c:trendline>
            <c:trendlineType val="linear"/>
            <c:dispRSqr val="1"/>
            <c:dispEq val="1"/>
            <c:trendlineLbl>
              <c:layout>
                <c:manualLayout>
                  <c:x val="-0.31094811608264605"/>
                  <c:y val="0.11678175553187661"/>
                </c:manualLayout>
              </c:layout>
              <c:numFmt formatCode="General" sourceLinked="0"/>
            </c:trendlineLbl>
          </c:trendline>
          <c:xVal>
            <c:numRef>
              <c:f>'power dependencies'!$N$19:$N$51</c:f>
              <c:numCache>
                <c:formatCode>General</c:formatCode>
                <c:ptCount val="33"/>
                <c:pt idx="0">
                  <c:v>-6.1103112445520509</c:v>
                </c:pt>
                <c:pt idx="1">
                  <c:v>-6.0402730444254651</c:v>
                </c:pt>
                <c:pt idx="2">
                  <c:v>-5.9628765301007354</c:v>
                </c:pt>
                <c:pt idx="3">
                  <c:v>-5.899111278660353</c:v>
                </c:pt>
                <c:pt idx="4">
                  <c:v>-5.8277890734053619</c:v>
                </c:pt>
                <c:pt idx="5">
                  <c:v>-5.7325181569239581</c:v>
                </c:pt>
                <c:pt idx="6">
                  <c:v>-5.667789869896672</c:v>
                </c:pt>
                <c:pt idx="7">
                  <c:v>-5.5949717586805292</c:v>
                </c:pt>
                <c:pt idx="8">
                  <c:v>-5.5187557989977076</c:v>
                </c:pt>
                <c:pt idx="9">
                  <c:v>-5.4427930929069461</c:v>
                </c:pt>
                <c:pt idx="10">
                  <c:v>-5.389687405153671</c:v>
                </c:pt>
                <c:pt idx="11">
                  <c:v>-5.3163819832520023</c:v>
                </c:pt>
                <c:pt idx="12">
                  <c:v>-5.2571040063813079</c:v>
                </c:pt>
                <c:pt idx="13">
                  <c:v>-5.1777362018419693</c:v>
                </c:pt>
                <c:pt idx="14">
                  <c:v>-5.1358014981049465</c:v>
                </c:pt>
                <c:pt idx="15">
                  <c:v>-5.0892269417168352</c:v>
                </c:pt>
                <c:pt idx="16">
                  <c:v>-5.0263641627971491</c:v>
                </c:pt>
                <c:pt idx="17">
                  <c:v>-4.9776436730068729</c:v>
                </c:pt>
                <c:pt idx="18">
                  <c:v>-4.9435736592669164</c:v>
                </c:pt>
                <c:pt idx="19">
                  <c:v>-4.9027432205967294</c:v>
                </c:pt>
                <c:pt idx="20">
                  <c:v>-4.8710933555723432</c:v>
                </c:pt>
                <c:pt idx="21">
                  <c:v>-4.8379583714992034</c:v>
                </c:pt>
                <c:pt idx="22">
                  <c:v>-4.806225640838421</c:v>
                </c:pt>
                <c:pt idx="23">
                  <c:v>-4.7774462717419777</c:v>
                </c:pt>
                <c:pt idx="24">
                  <c:v>-4.7649889648816561</c:v>
                </c:pt>
                <c:pt idx="25">
                  <c:v>-4.7449912528660692</c:v>
                </c:pt>
                <c:pt idx="26">
                  <c:v>-4.7141756422673566</c:v>
                </c:pt>
                <c:pt idx="27">
                  <c:v>-4.7021716495167727</c:v>
                </c:pt>
                <c:pt idx="28">
                  <c:v>-4.6851833102992195</c:v>
                </c:pt>
                <c:pt idx="29">
                  <c:v>-4.6699589448325058</c:v>
                </c:pt>
                <c:pt idx="30">
                  <c:v>-4.6681829861900104</c:v>
                </c:pt>
                <c:pt idx="31">
                  <c:v>-4.6508853615745975</c:v>
                </c:pt>
                <c:pt idx="32">
                  <c:v>-4.6413393240403877</c:v>
                </c:pt>
              </c:numCache>
            </c:numRef>
          </c:xVal>
          <c:yVal>
            <c:numRef>
              <c:f>'power dependencies'!$M$19:$M$51</c:f>
              <c:numCache>
                <c:formatCode>General</c:formatCode>
                <c:ptCount val="33"/>
                <c:pt idx="0">
                  <c:v>-2.9148528536246032</c:v>
                </c:pt>
                <c:pt idx="1">
                  <c:v>-2.3112398819801436</c:v>
                </c:pt>
                <c:pt idx="2">
                  <c:v>-2.4165538153789727</c:v>
                </c:pt>
                <c:pt idx="3">
                  <c:v>-2.2768958167721323</c:v>
                </c:pt>
                <c:pt idx="4">
                  <c:v>-2.0074850001008824</c:v>
                </c:pt>
                <c:pt idx="5">
                  <c:v>-2.0798617834504092</c:v>
                </c:pt>
                <c:pt idx="6">
                  <c:v>-1.7488268655737673</c:v>
                </c:pt>
                <c:pt idx="7">
                  <c:v>-1.7653711815362645</c:v>
                </c:pt>
                <c:pt idx="8">
                  <c:v>-1.4402613700197275</c:v>
                </c:pt>
                <c:pt idx="9">
                  <c:v>-1.5724796502315908</c:v>
                </c:pt>
                <c:pt idx="10">
                  <c:v>-1.4061245840944196</c:v>
                </c:pt>
                <c:pt idx="11">
                  <c:v>-1.3503473547576283</c:v>
                </c:pt>
                <c:pt idx="12">
                  <c:v>-1.1139094174951842</c:v>
                </c:pt>
                <c:pt idx="13">
                  <c:v>-1.0198263512008057</c:v>
                </c:pt>
                <c:pt idx="14">
                  <c:v>-1.0848582625390681</c:v>
                </c:pt>
                <c:pt idx="15">
                  <c:v>-0.93821289006647923</c:v>
                </c:pt>
                <c:pt idx="16">
                  <c:v>-0.88697791401807569</c:v>
                </c:pt>
                <c:pt idx="17">
                  <c:v>-0.90375449052147683</c:v>
                </c:pt>
                <c:pt idx="18">
                  <c:v>-0.58442653177460091</c:v>
                </c:pt>
                <c:pt idx="19">
                  <c:v>-0.45984949171545797</c:v>
                </c:pt>
                <c:pt idx="20">
                  <c:v>-0.52502475328756693</c:v>
                </c:pt>
                <c:pt idx="21">
                  <c:v>-0.37260987679303725</c:v>
                </c:pt>
                <c:pt idx="22">
                  <c:v>-0.40459373247516855</c:v>
                </c:pt>
                <c:pt idx="23">
                  <c:v>-0.5369339580112269</c:v>
                </c:pt>
                <c:pt idx="24">
                  <c:v>-0.67973643644548487</c:v>
                </c:pt>
                <c:pt idx="25">
                  <c:v>-0.52558230560766017</c:v>
                </c:pt>
                <c:pt idx="26">
                  <c:v>-0.55012059159815319</c:v>
                </c:pt>
                <c:pt idx="27">
                  <c:v>-0.5033127064990538</c:v>
                </c:pt>
                <c:pt idx="28">
                  <c:v>-0.35473810112427745</c:v>
                </c:pt>
                <c:pt idx="29">
                  <c:v>-0.4581515550895387</c:v>
                </c:pt>
                <c:pt idx="30">
                  <c:v>-0.36732905450362141</c:v>
                </c:pt>
                <c:pt idx="31">
                  <c:v>-0.35053959774411825</c:v>
                </c:pt>
                <c:pt idx="32">
                  <c:v>-0.19113642897643554</c:v>
                </c:pt>
              </c:numCache>
            </c:numRef>
          </c:yVal>
          <c:smooth val="0"/>
        </c:ser>
        <c:dLbls>
          <c:showLegendKey val="0"/>
          <c:showVal val="0"/>
          <c:showCatName val="0"/>
          <c:showSerName val="0"/>
          <c:showPercent val="0"/>
          <c:showBubbleSize val="0"/>
        </c:dLbls>
        <c:axId val="78538624"/>
        <c:axId val="78540800"/>
      </c:scatterChart>
      <c:valAx>
        <c:axId val="78538624"/>
        <c:scaling>
          <c:orientation val="minMax"/>
          <c:max val="-4"/>
          <c:min val="-7"/>
        </c:scaling>
        <c:delete val="0"/>
        <c:axPos val="b"/>
        <c:title>
          <c:tx>
            <c:rich>
              <a:bodyPr/>
              <a:lstStyle/>
              <a:p>
                <a:pPr>
                  <a:defRPr/>
                </a:pPr>
                <a:r>
                  <a:rPr lang="en-GB"/>
                  <a:t>LN(laser power) </a:t>
                </a:r>
              </a:p>
            </c:rich>
          </c:tx>
          <c:overlay val="0"/>
        </c:title>
        <c:numFmt formatCode="General" sourceLinked="1"/>
        <c:majorTickMark val="out"/>
        <c:minorTickMark val="none"/>
        <c:tickLblPos val="nextTo"/>
        <c:crossAx val="78540800"/>
        <c:crosses val="autoZero"/>
        <c:crossBetween val="midCat"/>
      </c:valAx>
      <c:valAx>
        <c:axId val="78540800"/>
        <c:scaling>
          <c:orientation val="minMax"/>
          <c:max val="0.5"/>
        </c:scaling>
        <c:delete val="0"/>
        <c:axPos val="l"/>
        <c:title>
          <c:tx>
            <c:rich>
              <a:bodyPr rot="-5400000" vert="horz"/>
              <a:lstStyle/>
              <a:p>
                <a:pPr>
                  <a:defRPr/>
                </a:pPr>
                <a:r>
                  <a:rPr lang="en-GB"/>
                  <a:t>LN(Ion signal)</a:t>
                </a:r>
              </a:p>
            </c:rich>
          </c:tx>
          <c:overlay val="0"/>
        </c:title>
        <c:numFmt formatCode="General" sourceLinked="1"/>
        <c:majorTickMark val="out"/>
        <c:minorTickMark val="none"/>
        <c:tickLblPos val="nextTo"/>
        <c:crossAx val="78538624"/>
        <c:crosses val="autoZero"/>
        <c:crossBetween val="midCat"/>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Probe laser power dependence</a:t>
            </a:r>
          </a:p>
        </c:rich>
      </c:tx>
      <c:overlay val="1"/>
    </c:title>
    <c:autoTitleDeleted val="0"/>
    <c:plotArea>
      <c:layout/>
      <c:scatterChart>
        <c:scatterStyle val="lineMarker"/>
        <c:varyColors val="0"/>
        <c:ser>
          <c:idx val="0"/>
          <c:order val="0"/>
          <c:spPr>
            <a:ln w="28575">
              <a:noFill/>
            </a:ln>
          </c:spPr>
          <c:trendline>
            <c:trendlineType val="power"/>
            <c:dispRSqr val="1"/>
            <c:dispEq val="1"/>
            <c:trendlineLbl>
              <c:layout>
                <c:manualLayout>
                  <c:x val="-0.12359447344362853"/>
                  <c:y val="0.15180950376748564"/>
                </c:manualLayout>
              </c:layout>
              <c:numFmt formatCode="General" sourceLinked="0"/>
            </c:trendlineLbl>
          </c:trendline>
          <c:trendline>
            <c:trendlineType val="linear"/>
            <c:dispRSqr val="1"/>
            <c:dispEq val="1"/>
            <c:trendlineLbl>
              <c:layout>
                <c:manualLayout>
                  <c:x val="-3.3072193223038129E-2"/>
                  <c:y val="0.35225493806592661"/>
                </c:manualLayout>
              </c:layout>
              <c:numFmt formatCode="General" sourceLinked="0"/>
            </c:trendlineLbl>
          </c:trendline>
          <c:xVal>
            <c:numRef>
              <c:f>'power dependencies'!$AC$11:$AC$55</c:f>
              <c:numCache>
                <c:formatCode>General</c:formatCode>
                <c:ptCount val="45"/>
                <c:pt idx="0">
                  <c:v>-6.6076660799836109</c:v>
                </c:pt>
                <c:pt idx="1">
                  <c:v>-6.6076660799836109</c:v>
                </c:pt>
                <c:pt idx="2">
                  <c:v>-6.5897564826034474</c:v>
                </c:pt>
                <c:pt idx="3">
                  <c:v>-6.5741017282691292</c:v>
                </c:pt>
                <c:pt idx="4">
                  <c:v>-6.5858197588773271</c:v>
                </c:pt>
                <c:pt idx="5">
                  <c:v>-6.5818984721933917</c:v>
                </c:pt>
                <c:pt idx="6">
                  <c:v>-6.6157300337743088</c:v>
                </c:pt>
                <c:pt idx="7">
                  <c:v>-6.5799435796412622</c:v>
                </c:pt>
                <c:pt idx="8">
                  <c:v>-6.5435087898726518</c:v>
                </c:pt>
                <c:pt idx="9">
                  <c:v>-6.4280378041456494</c:v>
                </c:pt>
                <c:pt idx="10">
                  <c:v>-6.1745027521529625</c:v>
                </c:pt>
                <c:pt idx="11">
                  <c:v>-5.988506990194316</c:v>
                </c:pt>
                <c:pt idx="12">
                  <c:v>-5.7374417835026321</c:v>
                </c:pt>
                <c:pt idx="13">
                  <c:v>-5.5950181646545616</c:v>
                </c:pt>
                <c:pt idx="14">
                  <c:v>-5.3647575678002468</c:v>
                </c:pt>
                <c:pt idx="15">
                  <c:v>-5.2084603650576513</c:v>
                </c:pt>
                <c:pt idx="16">
                  <c:v>-4.9894916730988799</c:v>
                </c:pt>
                <c:pt idx="17">
                  <c:v>-4.8717102870276774</c:v>
                </c:pt>
                <c:pt idx="18">
                  <c:v>-4.7638065907194065</c:v>
                </c:pt>
                <c:pt idx="19">
                  <c:v>-4.6618201229713696</c:v>
                </c:pt>
                <c:pt idx="20">
                  <c:v>-4.6052202401407794</c:v>
                </c:pt>
                <c:pt idx="21">
                  <c:v>-4.5406654085448324</c:v>
                </c:pt>
                <c:pt idx="22">
                  <c:v>-4.4901225450037217</c:v>
                </c:pt>
                <c:pt idx="23">
                  <c:v>-4.4239852524056325</c:v>
                </c:pt>
                <c:pt idx="24">
                  <c:v>-4.3882238256559276</c:v>
                </c:pt>
                <c:pt idx="25">
                  <c:v>-4.2884217189152691</c:v>
                </c:pt>
                <c:pt idx="26">
                  <c:v>-4.2959539090796692</c:v>
                </c:pt>
                <c:pt idx="27">
                  <c:v>-4.2419289664001001</c:v>
                </c:pt>
                <c:pt idx="28">
                  <c:v>-4.1166557745482688</c:v>
                </c:pt>
                <c:pt idx="29">
                  <c:v>-4.0890996645762616</c:v>
                </c:pt>
                <c:pt idx="30">
                  <c:v>-4.0248750280368659</c:v>
                </c:pt>
                <c:pt idx="31">
                  <c:v>-3.9908674657452052</c:v>
                </c:pt>
                <c:pt idx="32">
                  <c:v>-3.976020112090322</c:v>
                </c:pt>
                <c:pt idx="33">
                  <c:v>-3.9188780521645641</c:v>
                </c:pt>
                <c:pt idx="34">
                  <c:v>-3.7905977949946048</c:v>
                </c:pt>
                <c:pt idx="35">
                  <c:v>-3.7893981843773785</c:v>
                </c:pt>
                <c:pt idx="36">
                  <c:v>-3.7762965782805473</c:v>
                </c:pt>
                <c:pt idx="37">
                  <c:v>-3.7270052616152363</c:v>
                </c:pt>
                <c:pt idx="38">
                  <c:v>-3.7439306806920105</c:v>
                </c:pt>
                <c:pt idx="39">
                  <c:v>-3.7198223203983778</c:v>
                </c:pt>
                <c:pt idx="40">
                  <c:v>-3.7693394438375187</c:v>
                </c:pt>
                <c:pt idx="41">
                  <c:v>-3.7555687178010433</c:v>
                </c:pt>
                <c:pt idx="42">
                  <c:v>-3.7957725836246095</c:v>
                </c:pt>
                <c:pt idx="43">
                  <c:v>-3.8306396926135311</c:v>
                </c:pt>
                <c:pt idx="44">
                  <c:v>-3.8316396880763648</c:v>
                </c:pt>
              </c:numCache>
            </c:numRef>
          </c:xVal>
          <c:yVal>
            <c:numRef>
              <c:f>'power dependencies'!$AB$11:$AB$55</c:f>
              <c:numCache>
                <c:formatCode>General</c:formatCode>
                <c:ptCount val="45"/>
                <c:pt idx="0">
                  <c:v>-6.199803601055498</c:v>
                </c:pt>
                <c:pt idx="1">
                  <c:v>-6.9077552789821368</c:v>
                </c:pt>
                <c:pt idx="2">
                  <c:v>-5.4761048096320906</c:v>
                </c:pt>
                <c:pt idx="3">
                  <c:v>-4.9747056755321877</c:v>
                </c:pt>
                <c:pt idx="4">
                  <c:v>-4.7954556259032186</c:v>
                </c:pt>
                <c:pt idx="5">
                  <c:v>-5.6159128924931432</c:v>
                </c:pt>
                <c:pt idx="6">
                  <c:v>-5.9412054009479807</c:v>
                </c:pt>
                <c:pt idx="7">
                  <c:v>-7.6728504744536048</c:v>
                </c:pt>
                <c:pt idx="8">
                  <c:v>-5.7719056972163152</c:v>
                </c:pt>
                <c:pt idx="9">
                  <c:v>-5.3617875518595133</c:v>
                </c:pt>
                <c:pt idx="10">
                  <c:v>-4.4967982347856683</c:v>
                </c:pt>
                <c:pt idx="11">
                  <c:v>-3.885066024681179</c:v>
                </c:pt>
                <c:pt idx="12">
                  <c:v>-2.9191206812751544</c:v>
                </c:pt>
                <c:pt idx="13">
                  <c:v>-2.4621467218476578</c:v>
                </c:pt>
                <c:pt idx="14">
                  <c:v>-1.9225428718941371</c:v>
                </c:pt>
                <c:pt idx="15">
                  <c:v>-1.8436689735033169</c:v>
                </c:pt>
                <c:pt idx="16">
                  <c:v>-1.6243826941303487</c:v>
                </c:pt>
                <c:pt idx="17">
                  <c:v>-1.939011096237141</c:v>
                </c:pt>
                <c:pt idx="18">
                  <c:v>-1.9274332107018004</c:v>
                </c:pt>
                <c:pt idx="19">
                  <c:v>-1.6826692235163401</c:v>
                </c:pt>
                <c:pt idx="20">
                  <c:v>-1.6365370956277971</c:v>
                </c:pt>
                <c:pt idx="21">
                  <c:v>-1.5736399422102068</c:v>
                </c:pt>
                <c:pt idx="22">
                  <c:v>-1.4103810725830261</c:v>
                </c:pt>
                <c:pt idx="23">
                  <c:v>-1.3774140753324535</c:v>
                </c:pt>
                <c:pt idx="24">
                  <c:v>-1.2325177028403727</c:v>
                </c:pt>
                <c:pt idx="25">
                  <c:v>-1.0248610608738338</c:v>
                </c:pt>
                <c:pt idx="26">
                  <c:v>-1.0449761599395582</c:v>
                </c:pt>
                <c:pt idx="27">
                  <c:v>-0.9320927659086522</c:v>
                </c:pt>
                <c:pt idx="28">
                  <c:v>-0.73958682048963043</c:v>
                </c:pt>
                <c:pt idx="29">
                  <c:v>-0.65732678395644062</c:v>
                </c:pt>
                <c:pt idx="30">
                  <c:v>-0.4647514122536171</c:v>
                </c:pt>
                <c:pt idx="31">
                  <c:v>-0.46638789498487176</c:v>
                </c:pt>
                <c:pt idx="32">
                  <c:v>-0.3836318851213637</c:v>
                </c:pt>
                <c:pt idx="33">
                  <c:v>-0.34315781664169748</c:v>
                </c:pt>
                <c:pt idx="34">
                  <c:v>-0.21977305986264453</c:v>
                </c:pt>
                <c:pt idx="35">
                  <c:v>-0.20969944824048745</c:v>
                </c:pt>
                <c:pt idx="36">
                  <c:v>-0.12922389454185054</c:v>
                </c:pt>
                <c:pt idx="37">
                  <c:v>-2.8481666759452781E-2</c:v>
                </c:pt>
                <c:pt idx="38">
                  <c:v>-6.0725977557492636E-2</c:v>
                </c:pt>
                <c:pt idx="39">
                  <c:v>3.9501531426061635E-3</c:v>
                </c:pt>
                <c:pt idx="40">
                  <c:v>-6.058588649159509E-2</c:v>
                </c:pt>
                <c:pt idx="41">
                  <c:v>-0.1055006597335522</c:v>
                </c:pt>
                <c:pt idx="42">
                  <c:v>-3.644196451996267E-2</c:v>
                </c:pt>
                <c:pt idx="43">
                  <c:v>-0.10621271794165781</c:v>
                </c:pt>
                <c:pt idx="44">
                  <c:v>-3.8773893813689966E-2</c:v>
                </c:pt>
              </c:numCache>
            </c:numRef>
          </c:yVal>
          <c:smooth val="0"/>
        </c:ser>
        <c:dLbls>
          <c:showLegendKey val="0"/>
          <c:showVal val="0"/>
          <c:showCatName val="0"/>
          <c:showSerName val="0"/>
          <c:showPercent val="0"/>
          <c:showBubbleSize val="0"/>
        </c:dLbls>
        <c:axId val="84728064"/>
        <c:axId val="84734336"/>
      </c:scatterChart>
      <c:valAx>
        <c:axId val="84728064"/>
        <c:scaling>
          <c:orientation val="minMax"/>
          <c:max val="-3"/>
        </c:scaling>
        <c:delete val="0"/>
        <c:axPos val="b"/>
        <c:title>
          <c:tx>
            <c:rich>
              <a:bodyPr/>
              <a:lstStyle/>
              <a:p>
                <a:pPr>
                  <a:defRPr/>
                </a:pPr>
                <a:r>
                  <a:rPr lang="en-GB"/>
                  <a:t>LN(Laser power)</a:t>
                </a:r>
              </a:p>
            </c:rich>
          </c:tx>
          <c:overlay val="0"/>
        </c:title>
        <c:numFmt formatCode="General" sourceLinked="1"/>
        <c:majorTickMark val="out"/>
        <c:minorTickMark val="none"/>
        <c:tickLblPos val="nextTo"/>
        <c:crossAx val="84734336"/>
        <c:crosses val="autoZero"/>
        <c:crossBetween val="midCat"/>
      </c:valAx>
      <c:valAx>
        <c:axId val="84734336"/>
        <c:scaling>
          <c:orientation val="minMax"/>
        </c:scaling>
        <c:delete val="0"/>
        <c:axPos val="l"/>
        <c:title>
          <c:tx>
            <c:rich>
              <a:bodyPr rot="-5400000" vert="horz"/>
              <a:lstStyle/>
              <a:p>
                <a:pPr>
                  <a:defRPr/>
                </a:pPr>
                <a:r>
                  <a:rPr lang="en-GB"/>
                  <a:t>LN(Ion</a:t>
                </a:r>
                <a:r>
                  <a:rPr lang="en-GB" baseline="0"/>
                  <a:t> signal)</a:t>
                </a:r>
                <a:endParaRPr lang="en-GB"/>
              </a:p>
            </c:rich>
          </c:tx>
          <c:overlay val="0"/>
        </c:title>
        <c:numFmt formatCode="General" sourceLinked="1"/>
        <c:majorTickMark val="out"/>
        <c:minorTickMark val="none"/>
        <c:tickLblPos val="nextTo"/>
        <c:crossAx val="84728064"/>
        <c:crosses val="autoZero"/>
        <c:crossBetween val="midCat"/>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marker>
            <c:symbol val="none"/>
          </c:marker>
          <c:xVal>
            <c:numRef>
              <c:f>'probe laser time profile measur'!$C$6:$C$1007</c:f>
              <c:numCache>
                <c:formatCode>0.00E+00</c:formatCode>
                <c:ptCount val="1002"/>
                <c:pt idx="0">
                  <c:v>0.20000000000004547</c:v>
                </c:pt>
                <c:pt idx="1">
                  <c:v>0.30000000000006821</c:v>
                </c:pt>
                <c:pt idx="2">
                  <c:v>0.40000000000009095</c:v>
                </c:pt>
                <c:pt idx="3">
                  <c:v>0.50000000000011369</c:v>
                </c:pt>
                <c:pt idx="4">
                  <c:v>0.60000000000002274</c:v>
                </c:pt>
                <c:pt idx="5">
                  <c:v>0.70000000000004547</c:v>
                </c:pt>
                <c:pt idx="6">
                  <c:v>0.80000000000006821</c:v>
                </c:pt>
                <c:pt idx="7">
                  <c:v>0.90000000000009095</c:v>
                </c:pt>
                <c:pt idx="8">
                  <c:v>1.0000000000001137</c:v>
                </c:pt>
                <c:pt idx="9">
                  <c:v>1.0999999999999091</c:v>
                </c:pt>
                <c:pt idx="10">
                  <c:v>1.1999999999999318</c:v>
                </c:pt>
                <c:pt idx="11">
                  <c:v>1.2999999999999545</c:v>
                </c:pt>
                <c:pt idx="12">
                  <c:v>1.3999999999999773</c:v>
                </c:pt>
                <c:pt idx="13">
                  <c:v>1.4999999999998863</c:v>
                </c:pt>
                <c:pt idx="14">
                  <c:v>1.5999999999999091</c:v>
                </c:pt>
                <c:pt idx="15">
                  <c:v>1.6999999999999318</c:v>
                </c:pt>
                <c:pt idx="16">
                  <c:v>1.7999999999999545</c:v>
                </c:pt>
                <c:pt idx="17">
                  <c:v>1.8999999999999773</c:v>
                </c:pt>
                <c:pt idx="18">
                  <c:v>2</c:v>
                </c:pt>
                <c:pt idx="19">
                  <c:v>2.1000000000000227</c:v>
                </c:pt>
                <c:pt idx="20">
                  <c:v>2.1999999999999318</c:v>
                </c:pt>
                <c:pt idx="21">
                  <c:v>2.2999999999999545</c:v>
                </c:pt>
                <c:pt idx="22">
                  <c:v>2.3999999999999773</c:v>
                </c:pt>
                <c:pt idx="23">
                  <c:v>2.5</c:v>
                </c:pt>
                <c:pt idx="24">
                  <c:v>2.6000000000000227</c:v>
                </c:pt>
                <c:pt idx="25">
                  <c:v>2.7000000000000455</c:v>
                </c:pt>
                <c:pt idx="26">
                  <c:v>2.8000000000000682</c:v>
                </c:pt>
                <c:pt idx="27">
                  <c:v>2.9000000000000909</c:v>
                </c:pt>
                <c:pt idx="28">
                  <c:v>3</c:v>
                </c:pt>
                <c:pt idx="29">
                  <c:v>3.1000000000000227</c:v>
                </c:pt>
                <c:pt idx="30">
                  <c:v>3.2000000000000455</c:v>
                </c:pt>
                <c:pt idx="31">
                  <c:v>3.3000000000000682</c:v>
                </c:pt>
                <c:pt idx="32">
                  <c:v>3.4000000000000909</c:v>
                </c:pt>
                <c:pt idx="33">
                  <c:v>3.5000000000001137</c:v>
                </c:pt>
                <c:pt idx="34">
                  <c:v>3.6000000000001364</c:v>
                </c:pt>
                <c:pt idx="35">
                  <c:v>3.7000000000000455</c:v>
                </c:pt>
                <c:pt idx="36">
                  <c:v>3.8000000000000682</c:v>
                </c:pt>
                <c:pt idx="37">
                  <c:v>3.8999999999998636</c:v>
                </c:pt>
                <c:pt idx="38">
                  <c:v>3.9999999999998863</c:v>
                </c:pt>
                <c:pt idx="39">
                  <c:v>4.0999999999999091</c:v>
                </c:pt>
                <c:pt idx="40">
                  <c:v>4.1999999999999318</c:v>
                </c:pt>
                <c:pt idx="41">
                  <c:v>4.2999999999999545</c:v>
                </c:pt>
                <c:pt idx="42">
                  <c:v>4.3999999999999773</c:v>
                </c:pt>
                <c:pt idx="43">
                  <c:v>4.5</c:v>
                </c:pt>
                <c:pt idx="44">
                  <c:v>4.5999999999999091</c:v>
                </c:pt>
                <c:pt idx="45">
                  <c:v>4.6999999999999318</c:v>
                </c:pt>
                <c:pt idx="46">
                  <c:v>4.7999999999999545</c:v>
                </c:pt>
                <c:pt idx="47">
                  <c:v>4.8999999999999773</c:v>
                </c:pt>
                <c:pt idx="48">
                  <c:v>5</c:v>
                </c:pt>
                <c:pt idx="49">
                  <c:v>5.1000000000000227</c:v>
                </c:pt>
                <c:pt idx="50">
                  <c:v>5.2000000000000455</c:v>
                </c:pt>
                <c:pt idx="51">
                  <c:v>5.2999999999999545</c:v>
                </c:pt>
                <c:pt idx="52">
                  <c:v>5.3999999999999773</c:v>
                </c:pt>
                <c:pt idx="53">
                  <c:v>5.5</c:v>
                </c:pt>
                <c:pt idx="54">
                  <c:v>5.6000000000000227</c:v>
                </c:pt>
                <c:pt idx="55">
                  <c:v>5.7000000000000455</c:v>
                </c:pt>
                <c:pt idx="56">
                  <c:v>5.8000000000000682</c:v>
                </c:pt>
                <c:pt idx="57">
                  <c:v>5.9000000000000909</c:v>
                </c:pt>
                <c:pt idx="58">
                  <c:v>6.0000000000001137</c:v>
                </c:pt>
                <c:pt idx="59">
                  <c:v>6.1000000000000227</c:v>
                </c:pt>
                <c:pt idx="60">
                  <c:v>6.2000000000000455</c:v>
                </c:pt>
                <c:pt idx="61">
                  <c:v>6.3000000000000682</c:v>
                </c:pt>
                <c:pt idx="62">
                  <c:v>6.4000000000000909</c:v>
                </c:pt>
                <c:pt idx="63">
                  <c:v>6.5000000000001137</c:v>
                </c:pt>
                <c:pt idx="64">
                  <c:v>6.6000000000001364</c:v>
                </c:pt>
                <c:pt idx="65">
                  <c:v>6.6999999999999318</c:v>
                </c:pt>
                <c:pt idx="66">
                  <c:v>6.7999999999999545</c:v>
                </c:pt>
                <c:pt idx="67">
                  <c:v>6.8999999999998636</c:v>
                </c:pt>
                <c:pt idx="68">
                  <c:v>6.9999999999998863</c:v>
                </c:pt>
                <c:pt idx="69">
                  <c:v>7.0999999999999091</c:v>
                </c:pt>
                <c:pt idx="70">
                  <c:v>7.1999999999999318</c:v>
                </c:pt>
                <c:pt idx="71">
                  <c:v>7.2999999999999545</c:v>
                </c:pt>
                <c:pt idx="72">
                  <c:v>7.3999999999999773</c:v>
                </c:pt>
                <c:pt idx="73">
                  <c:v>7.5</c:v>
                </c:pt>
                <c:pt idx="74">
                  <c:v>7.6000000000000227</c:v>
                </c:pt>
                <c:pt idx="75">
                  <c:v>7.6999999999999318</c:v>
                </c:pt>
                <c:pt idx="76">
                  <c:v>7.7999999999999545</c:v>
                </c:pt>
                <c:pt idx="77">
                  <c:v>7.8999999999999773</c:v>
                </c:pt>
                <c:pt idx="78">
                  <c:v>8</c:v>
                </c:pt>
                <c:pt idx="79">
                  <c:v>8.1000000000000227</c:v>
                </c:pt>
                <c:pt idx="80">
                  <c:v>8.2000000000000455</c:v>
                </c:pt>
                <c:pt idx="81">
                  <c:v>8.3000000000000682</c:v>
                </c:pt>
                <c:pt idx="82">
                  <c:v>8.3999999999999773</c:v>
                </c:pt>
                <c:pt idx="83">
                  <c:v>8.5</c:v>
                </c:pt>
                <c:pt idx="84">
                  <c:v>8.6000000000000227</c:v>
                </c:pt>
                <c:pt idx="85">
                  <c:v>8.7000000000000455</c:v>
                </c:pt>
                <c:pt idx="86">
                  <c:v>8.8000000000000682</c:v>
                </c:pt>
                <c:pt idx="87">
                  <c:v>8.9000000000000909</c:v>
                </c:pt>
                <c:pt idx="88">
                  <c:v>9.0000000000001137</c:v>
                </c:pt>
                <c:pt idx="89">
                  <c:v>9.1000000000000227</c:v>
                </c:pt>
                <c:pt idx="90">
                  <c:v>9.2000000000000455</c:v>
                </c:pt>
                <c:pt idx="91">
                  <c:v>9.3000000000000682</c:v>
                </c:pt>
                <c:pt idx="92">
                  <c:v>9.4000000000000909</c:v>
                </c:pt>
                <c:pt idx="93">
                  <c:v>9.4999999999998863</c:v>
                </c:pt>
                <c:pt idx="94">
                  <c:v>9.5999999999999091</c:v>
                </c:pt>
                <c:pt idx="95">
                  <c:v>9.6999999999999318</c:v>
                </c:pt>
                <c:pt idx="96">
                  <c:v>9.7999999999999545</c:v>
                </c:pt>
                <c:pt idx="97">
                  <c:v>9.8999999999999773</c:v>
                </c:pt>
                <c:pt idx="98">
                  <c:v>9.9999999999998863</c:v>
                </c:pt>
                <c:pt idx="99">
                  <c:v>10.099999999999909</c:v>
                </c:pt>
                <c:pt idx="100">
                  <c:v>10.199999999999932</c:v>
                </c:pt>
                <c:pt idx="101">
                  <c:v>10.299999999999955</c:v>
                </c:pt>
                <c:pt idx="102">
                  <c:v>10.399999999999977</c:v>
                </c:pt>
                <c:pt idx="103">
                  <c:v>10.5</c:v>
                </c:pt>
                <c:pt idx="104">
                  <c:v>10.600000000000023</c:v>
                </c:pt>
                <c:pt idx="105">
                  <c:v>10.699999999999932</c:v>
                </c:pt>
                <c:pt idx="106">
                  <c:v>10.799999999999955</c:v>
                </c:pt>
                <c:pt idx="107">
                  <c:v>10.899999999999977</c:v>
                </c:pt>
                <c:pt idx="108">
                  <c:v>11</c:v>
                </c:pt>
                <c:pt idx="109">
                  <c:v>11.100000000000023</c:v>
                </c:pt>
                <c:pt idx="110">
                  <c:v>11.200000000000045</c:v>
                </c:pt>
                <c:pt idx="111">
                  <c:v>11.300000000000068</c:v>
                </c:pt>
                <c:pt idx="112">
                  <c:v>11.400000000000091</c:v>
                </c:pt>
                <c:pt idx="113">
                  <c:v>11.5</c:v>
                </c:pt>
                <c:pt idx="114">
                  <c:v>11.600000000000023</c:v>
                </c:pt>
                <c:pt idx="115">
                  <c:v>11.700000000000045</c:v>
                </c:pt>
                <c:pt idx="116">
                  <c:v>11.800000000000068</c:v>
                </c:pt>
                <c:pt idx="117">
                  <c:v>11.900000000000091</c:v>
                </c:pt>
                <c:pt idx="118">
                  <c:v>12.000000000000114</c:v>
                </c:pt>
                <c:pt idx="119">
                  <c:v>12.100000000000136</c:v>
                </c:pt>
                <c:pt idx="120">
                  <c:v>12.200000000000045</c:v>
                </c:pt>
                <c:pt idx="121">
                  <c:v>12.299999999999841</c:v>
                </c:pt>
                <c:pt idx="122">
                  <c:v>12.399999999999864</c:v>
                </c:pt>
                <c:pt idx="123">
                  <c:v>12.499999999999886</c:v>
                </c:pt>
                <c:pt idx="124">
                  <c:v>12.599999999999909</c:v>
                </c:pt>
                <c:pt idx="125">
                  <c:v>12.699999999999932</c:v>
                </c:pt>
                <c:pt idx="126">
                  <c:v>12.799999999999955</c:v>
                </c:pt>
                <c:pt idx="127">
                  <c:v>12.899999999999977</c:v>
                </c:pt>
                <c:pt idx="128">
                  <c:v>13</c:v>
                </c:pt>
                <c:pt idx="129">
                  <c:v>13.099999999999909</c:v>
                </c:pt>
                <c:pt idx="130">
                  <c:v>13.199999999999932</c:v>
                </c:pt>
                <c:pt idx="131">
                  <c:v>13.299999999999955</c:v>
                </c:pt>
                <c:pt idx="132">
                  <c:v>13.399999999999977</c:v>
                </c:pt>
              </c:numCache>
            </c:numRef>
          </c:xVal>
          <c:yVal>
            <c:numRef>
              <c:f>'probe laser time profile measur'!$D$6:$D$1007</c:f>
              <c:numCache>
                <c:formatCode>0.00E+00</c:formatCode>
                <c:ptCount val="1002"/>
                <c:pt idx="0">
                  <c:v>96.594400000000007</c:v>
                </c:pt>
                <c:pt idx="1">
                  <c:v>124.077</c:v>
                </c:pt>
                <c:pt idx="2">
                  <c:v>139.03099999999998</c:v>
                </c:pt>
                <c:pt idx="3">
                  <c:v>109.123</c:v>
                </c:pt>
                <c:pt idx="4">
                  <c:v>75.173900000000003</c:v>
                </c:pt>
                <c:pt idx="5">
                  <c:v>65.474000000000004</c:v>
                </c:pt>
                <c:pt idx="6">
                  <c:v>95.381900000000002</c:v>
                </c:pt>
                <c:pt idx="7">
                  <c:v>146.30599999999998</c:v>
                </c:pt>
                <c:pt idx="8">
                  <c:v>145.09399999999999</c:v>
                </c:pt>
                <c:pt idx="9">
                  <c:v>102.657</c:v>
                </c:pt>
                <c:pt idx="10">
                  <c:v>82.448799999999991</c:v>
                </c:pt>
                <c:pt idx="11">
                  <c:v>61.836599999999997</c:v>
                </c:pt>
                <c:pt idx="12">
                  <c:v>54.561700000000002</c:v>
                </c:pt>
                <c:pt idx="13">
                  <c:v>90.936199999999999</c:v>
                </c:pt>
                <c:pt idx="14">
                  <c:v>103.06099999999999</c:v>
                </c:pt>
                <c:pt idx="15">
                  <c:v>92.148600000000002</c:v>
                </c:pt>
                <c:pt idx="16">
                  <c:v>96.190300000000008</c:v>
                </c:pt>
                <c:pt idx="17">
                  <c:v>109.123</c:v>
                </c:pt>
                <c:pt idx="18">
                  <c:v>118.82299999999999</c:v>
                </c:pt>
                <c:pt idx="19">
                  <c:v>109.123</c:v>
                </c:pt>
                <c:pt idx="20">
                  <c:v>105.89</c:v>
                </c:pt>
                <c:pt idx="21">
                  <c:v>123.673</c:v>
                </c:pt>
                <c:pt idx="22">
                  <c:v>130.54399999999998</c:v>
                </c:pt>
                <c:pt idx="23">
                  <c:v>124.077</c:v>
                </c:pt>
                <c:pt idx="24">
                  <c:v>117.61099999999999</c:v>
                </c:pt>
                <c:pt idx="25">
                  <c:v>111.548</c:v>
                </c:pt>
                <c:pt idx="26">
                  <c:v>110.74</c:v>
                </c:pt>
                <c:pt idx="27">
                  <c:v>117.20700000000001</c:v>
                </c:pt>
                <c:pt idx="28">
                  <c:v>126.502</c:v>
                </c:pt>
                <c:pt idx="29">
                  <c:v>124.886</c:v>
                </c:pt>
                <c:pt idx="30">
                  <c:v>122.461</c:v>
                </c:pt>
                <c:pt idx="31">
                  <c:v>138.22300000000001</c:v>
                </c:pt>
                <c:pt idx="32">
                  <c:v>147.923</c:v>
                </c:pt>
                <c:pt idx="33">
                  <c:v>154.38900000000001</c:v>
                </c:pt>
                <c:pt idx="34">
                  <c:v>177.42699999999999</c:v>
                </c:pt>
                <c:pt idx="35">
                  <c:v>198.03900000000002</c:v>
                </c:pt>
                <c:pt idx="36">
                  <c:v>225.92599999999999</c:v>
                </c:pt>
                <c:pt idx="37">
                  <c:v>279.27499999999998</c:v>
                </c:pt>
                <c:pt idx="38">
                  <c:v>359.29899999999998</c:v>
                </c:pt>
                <c:pt idx="39">
                  <c:v>449.42700000000002</c:v>
                </c:pt>
                <c:pt idx="40">
                  <c:v>541.57600000000002</c:v>
                </c:pt>
                <c:pt idx="41">
                  <c:v>659.59100000000001</c:v>
                </c:pt>
                <c:pt idx="42">
                  <c:v>826.50900000000001</c:v>
                </c:pt>
                <c:pt idx="43">
                  <c:v>1029.8</c:v>
                </c:pt>
                <c:pt idx="44">
                  <c:v>1220.57</c:v>
                </c:pt>
                <c:pt idx="45">
                  <c:v>1404.86</c:v>
                </c:pt>
                <c:pt idx="46">
                  <c:v>1619.47</c:v>
                </c:pt>
                <c:pt idx="47">
                  <c:v>1855.9099999999999</c:v>
                </c:pt>
                <c:pt idx="48">
                  <c:v>2089.5100000000002</c:v>
                </c:pt>
                <c:pt idx="49">
                  <c:v>2318.67</c:v>
                </c:pt>
                <c:pt idx="50">
                  <c:v>2533.69</c:v>
                </c:pt>
                <c:pt idx="51">
                  <c:v>2763.25</c:v>
                </c:pt>
                <c:pt idx="52">
                  <c:v>3034.4399999999996</c:v>
                </c:pt>
                <c:pt idx="53">
                  <c:v>3281.38</c:v>
                </c:pt>
                <c:pt idx="54">
                  <c:v>3450.32</c:v>
                </c:pt>
                <c:pt idx="55">
                  <c:v>3578.8500000000004</c:v>
                </c:pt>
                <c:pt idx="56">
                  <c:v>3723.54</c:v>
                </c:pt>
                <c:pt idx="57">
                  <c:v>3865.4</c:v>
                </c:pt>
                <c:pt idx="58">
                  <c:v>3959.9700000000003</c:v>
                </c:pt>
                <c:pt idx="59">
                  <c:v>4019.7899999999995</c:v>
                </c:pt>
                <c:pt idx="60">
                  <c:v>4078.7899999999995</c:v>
                </c:pt>
                <c:pt idx="61">
                  <c:v>4146.29</c:v>
                </c:pt>
                <c:pt idx="62">
                  <c:v>4203.6799999999994</c:v>
                </c:pt>
                <c:pt idx="63">
                  <c:v>4229.95</c:v>
                </c:pt>
                <c:pt idx="64">
                  <c:v>4232.37</c:v>
                </c:pt>
                <c:pt idx="65">
                  <c:v>4226.7199999999993</c:v>
                </c:pt>
                <c:pt idx="66">
                  <c:v>4192.3599999999997</c:v>
                </c:pt>
                <c:pt idx="67">
                  <c:v>4118.4000000000005</c:v>
                </c:pt>
                <c:pt idx="68">
                  <c:v>4040.4000000000005</c:v>
                </c:pt>
                <c:pt idx="69">
                  <c:v>3966.84</c:v>
                </c:pt>
                <c:pt idx="70">
                  <c:v>3875.5</c:v>
                </c:pt>
                <c:pt idx="71">
                  <c:v>3768.8</c:v>
                </c:pt>
                <c:pt idx="72">
                  <c:v>3640.28</c:v>
                </c:pt>
                <c:pt idx="73">
                  <c:v>3499.23</c:v>
                </c:pt>
                <c:pt idx="74">
                  <c:v>3377.17</c:v>
                </c:pt>
                <c:pt idx="75">
                  <c:v>3253.09</c:v>
                </c:pt>
                <c:pt idx="76">
                  <c:v>3126.5899999999997</c:v>
                </c:pt>
                <c:pt idx="77">
                  <c:v>3015.85</c:v>
                </c:pt>
                <c:pt idx="78">
                  <c:v>2854.18</c:v>
                </c:pt>
                <c:pt idx="79">
                  <c:v>2666.65</c:v>
                </c:pt>
                <c:pt idx="80">
                  <c:v>2521.1600000000003</c:v>
                </c:pt>
                <c:pt idx="81">
                  <c:v>2398.7000000000003</c:v>
                </c:pt>
                <c:pt idx="82">
                  <c:v>2285.9299999999998</c:v>
                </c:pt>
                <c:pt idx="83">
                  <c:v>2188.5300000000002</c:v>
                </c:pt>
                <c:pt idx="84">
                  <c:v>2072.94</c:v>
                </c:pt>
                <c:pt idx="85">
                  <c:v>1925.4199999999998</c:v>
                </c:pt>
                <c:pt idx="86">
                  <c:v>1804.98</c:v>
                </c:pt>
                <c:pt idx="87">
                  <c:v>1703.1299999999999</c:v>
                </c:pt>
                <c:pt idx="88">
                  <c:v>1577.04</c:v>
                </c:pt>
                <c:pt idx="89">
                  <c:v>1457.81</c:v>
                </c:pt>
                <c:pt idx="90">
                  <c:v>1350.71</c:v>
                </c:pt>
                <c:pt idx="91">
                  <c:v>1267.0400000000002</c:v>
                </c:pt>
                <c:pt idx="92">
                  <c:v>1194.6999999999998</c:v>
                </c:pt>
                <c:pt idx="93">
                  <c:v>1113.8700000000001</c:v>
                </c:pt>
                <c:pt idx="94">
                  <c:v>1041.1199999999999</c:v>
                </c:pt>
                <c:pt idx="95">
                  <c:v>967.96600000000001</c:v>
                </c:pt>
                <c:pt idx="96">
                  <c:v>897.64200000000005</c:v>
                </c:pt>
                <c:pt idx="97">
                  <c:v>852.78000000000009</c:v>
                </c:pt>
                <c:pt idx="98">
                  <c:v>791.75100000000009</c:v>
                </c:pt>
                <c:pt idx="99">
                  <c:v>725.87300000000005</c:v>
                </c:pt>
                <c:pt idx="100">
                  <c:v>699.19800000000009</c:v>
                </c:pt>
                <c:pt idx="101">
                  <c:v>676.97</c:v>
                </c:pt>
                <c:pt idx="102">
                  <c:v>633.72400000000005</c:v>
                </c:pt>
                <c:pt idx="103">
                  <c:v>571.88800000000003</c:v>
                </c:pt>
                <c:pt idx="104">
                  <c:v>520.55899999999997</c:v>
                </c:pt>
                <c:pt idx="105">
                  <c:v>480.14299999999997</c:v>
                </c:pt>
                <c:pt idx="106">
                  <c:v>430.83599999999996</c:v>
                </c:pt>
                <c:pt idx="107">
                  <c:v>406.98999999999995</c:v>
                </c:pt>
                <c:pt idx="108">
                  <c:v>382.74</c:v>
                </c:pt>
                <c:pt idx="109">
                  <c:v>352.428</c:v>
                </c:pt>
                <c:pt idx="110">
                  <c:v>325.75399999999996</c:v>
                </c:pt>
                <c:pt idx="111">
                  <c:v>313.62900000000002</c:v>
                </c:pt>
                <c:pt idx="112">
                  <c:v>332.21999999999997</c:v>
                </c:pt>
                <c:pt idx="113">
                  <c:v>343.94100000000003</c:v>
                </c:pt>
                <c:pt idx="114">
                  <c:v>340.70800000000003</c:v>
                </c:pt>
                <c:pt idx="115">
                  <c:v>329.79500000000002</c:v>
                </c:pt>
                <c:pt idx="116">
                  <c:v>311.608</c:v>
                </c:pt>
                <c:pt idx="117">
                  <c:v>294.63299999999998</c:v>
                </c:pt>
                <c:pt idx="118">
                  <c:v>283.31700000000001</c:v>
                </c:pt>
                <c:pt idx="119">
                  <c:v>256.238</c:v>
                </c:pt>
                <c:pt idx="120">
                  <c:v>231.17999999999998</c:v>
                </c:pt>
                <c:pt idx="121">
                  <c:v>234.81700000000001</c:v>
                </c:pt>
                <c:pt idx="122">
                  <c:v>234.81700000000001</c:v>
                </c:pt>
                <c:pt idx="123">
                  <c:v>243.30500000000001</c:v>
                </c:pt>
                <c:pt idx="124">
                  <c:v>257.85499999999996</c:v>
                </c:pt>
                <c:pt idx="125">
                  <c:v>239.667</c:v>
                </c:pt>
                <c:pt idx="126">
                  <c:v>218.24699999999999</c:v>
                </c:pt>
                <c:pt idx="127">
                  <c:v>210.97200000000001</c:v>
                </c:pt>
                <c:pt idx="128">
                  <c:v>225.11799999999999</c:v>
                </c:pt>
                <c:pt idx="129">
                  <c:v>238.45499999999998</c:v>
                </c:pt>
                <c:pt idx="130">
                  <c:v>218.65099999999998</c:v>
                </c:pt>
                <c:pt idx="131">
                  <c:v>191.976</c:v>
                </c:pt>
                <c:pt idx="132">
                  <c:v>208.143</c:v>
                </c:pt>
              </c:numCache>
            </c:numRef>
          </c:yVal>
          <c:smooth val="0"/>
        </c:ser>
        <c:ser>
          <c:idx val="1"/>
          <c:order val="1"/>
          <c:marker>
            <c:symbol val="none"/>
          </c:marker>
          <c:xVal>
            <c:numRef>
              <c:f>'probe laser time profile measur'!$C$6:$C$138</c:f>
              <c:numCache>
                <c:formatCode>0.00E+00</c:formatCode>
                <c:ptCount val="133"/>
                <c:pt idx="0">
                  <c:v>0.20000000000004547</c:v>
                </c:pt>
                <c:pt idx="1">
                  <c:v>0.30000000000006821</c:v>
                </c:pt>
                <c:pt idx="2">
                  <c:v>0.40000000000009095</c:v>
                </c:pt>
                <c:pt idx="3">
                  <c:v>0.50000000000011369</c:v>
                </c:pt>
                <c:pt idx="4">
                  <c:v>0.60000000000002274</c:v>
                </c:pt>
                <c:pt idx="5">
                  <c:v>0.70000000000004547</c:v>
                </c:pt>
                <c:pt idx="6">
                  <c:v>0.80000000000006821</c:v>
                </c:pt>
                <c:pt idx="7">
                  <c:v>0.90000000000009095</c:v>
                </c:pt>
                <c:pt idx="8">
                  <c:v>1.0000000000001137</c:v>
                </c:pt>
                <c:pt idx="9">
                  <c:v>1.0999999999999091</c:v>
                </c:pt>
                <c:pt idx="10">
                  <c:v>1.1999999999999318</c:v>
                </c:pt>
                <c:pt idx="11">
                  <c:v>1.2999999999999545</c:v>
                </c:pt>
                <c:pt idx="12">
                  <c:v>1.3999999999999773</c:v>
                </c:pt>
                <c:pt idx="13">
                  <c:v>1.4999999999998863</c:v>
                </c:pt>
                <c:pt idx="14">
                  <c:v>1.5999999999999091</c:v>
                </c:pt>
                <c:pt idx="15">
                  <c:v>1.6999999999999318</c:v>
                </c:pt>
                <c:pt idx="16">
                  <c:v>1.7999999999999545</c:v>
                </c:pt>
                <c:pt idx="17">
                  <c:v>1.8999999999999773</c:v>
                </c:pt>
                <c:pt idx="18">
                  <c:v>2</c:v>
                </c:pt>
                <c:pt idx="19">
                  <c:v>2.1000000000000227</c:v>
                </c:pt>
                <c:pt idx="20">
                  <c:v>2.1999999999999318</c:v>
                </c:pt>
                <c:pt idx="21">
                  <c:v>2.2999999999999545</c:v>
                </c:pt>
                <c:pt idx="22">
                  <c:v>2.3999999999999773</c:v>
                </c:pt>
                <c:pt idx="23">
                  <c:v>2.5</c:v>
                </c:pt>
                <c:pt idx="24">
                  <c:v>2.6000000000000227</c:v>
                </c:pt>
                <c:pt idx="25">
                  <c:v>2.7000000000000455</c:v>
                </c:pt>
                <c:pt idx="26">
                  <c:v>2.8000000000000682</c:v>
                </c:pt>
                <c:pt idx="27">
                  <c:v>2.9000000000000909</c:v>
                </c:pt>
                <c:pt idx="28">
                  <c:v>3</c:v>
                </c:pt>
                <c:pt idx="29">
                  <c:v>3.1000000000000227</c:v>
                </c:pt>
                <c:pt idx="30">
                  <c:v>3.2000000000000455</c:v>
                </c:pt>
                <c:pt idx="31">
                  <c:v>3.3000000000000682</c:v>
                </c:pt>
                <c:pt idx="32">
                  <c:v>3.4000000000000909</c:v>
                </c:pt>
                <c:pt idx="33">
                  <c:v>3.5000000000001137</c:v>
                </c:pt>
                <c:pt idx="34">
                  <c:v>3.6000000000001364</c:v>
                </c:pt>
                <c:pt idx="35">
                  <c:v>3.7000000000000455</c:v>
                </c:pt>
                <c:pt idx="36">
                  <c:v>3.8000000000000682</c:v>
                </c:pt>
                <c:pt idx="37">
                  <c:v>3.8999999999998636</c:v>
                </c:pt>
                <c:pt idx="38">
                  <c:v>3.9999999999998863</c:v>
                </c:pt>
                <c:pt idx="39">
                  <c:v>4.0999999999999091</c:v>
                </c:pt>
                <c:pt idx="40">
                  <c:v>4.1999999999999318</c:v>
                </c:pt>
                <c:pt idx="41">
                  <c:v>4.2999999999999545</c:v>
                </c:pt>
                <c:pt idx="42">
                  <c:v>4.3999999999999773</c:v>
                </c:pt>
                <c:pt idx="43">
                  <c:v>4.5</c:v>
                </c:pt>
                <c:pt idx="44">
                  <c:v>4.5999999999999091</c:v>
                </c:pt>
                <c:pt idx="45">
                  <c:v>4.6999999999999318</c:v>
                </c:pt>
                <c:pt idx="46">
                  <c:v>4.7999999999999545</c:v>
                </c:pt>
                <c:pt idx="47">
                  <c:v>4.8999999999999773</c:v>
                </c:pt>
                <c:pt idx="48">
                  <c:v>5</c:v>
                </c:pt>
                <c:pt idx="49">
                  <c:v>5.1000000000000227</c:v>
                </c:pt>
                <c:pt idx="50">
                  <c:v>5.2000000000000455</c:v>
                </c:pt>
                <c:pt idx="51">
                  <c:v>5.2999999999999545</c:v>
                </c:pt>
                <c:pt idx="52">
                  <c:v>5.3999999999999773</c:v>
                </c:pt>
                <c:pt idx="53">
                  <c:v>5.5</c:v>
                </c:pt>
                <c:pt idx="54">
                  <c:v>5.6000000000000227</c:v>
                </c:pt>
                <c:pt idx="55">
                  <c:v>5.7000000000000455</c:v>
                </c:pt>
                <c:pt idx="56">
                  <c:v>5.8000000000000682</c:v>
                </c:pt>
                <c:pt idx="57">
                  <c:v>5.9000000000000909</c:v>
                </c:pt>
                <c:pt idx="58">
                  <c:v>6.0000000000001137</c:v>
                </c:pt>
                <c:pt idx="59">
                  <c:v>6.1000000000000227</c:v>
                </c:pt>
                <c:pt idx="60">
                  <c:v>6.2000000000000455</c:v>
                </c:pt>
                <c:pt idx="61">
                  <c:v>6.3000000000000682</c:v>
                </c:pt>
                <c:pt idx="62">
                  <c:v>6.4000000000000909</c:v>
                </c:pt>
                <c:pt idx="63">
                  <c:v>6.5000000000001137</c:v>
                </c:pt>
                <c:pt idx="64">
                  <c:v>6.6000000000001364</c:v>
                </c:pt>
                <c:pt idx="65">
                  <c:v>6.6999999999999318</c:v>
                </c:pt>
                <c:pt idx="66">
                  <c:v>6.7999999999999545</c:v>
                </c:pt>
                <c:pt idx="67">
                  <c:v>6.8999999999998636</c:v>
                </c:pt>
                <c:pt idx="68">
                  <c:v>6.9999999999998863</c:v>
                </c:pt>
                <c:pt idx="69">
                  <c:v>7.0999999999999091</c:v>
                </c:pt>
                <c:pt idx="70">
                  <c:v>7.1999999999999318</c:v>
                </c:pt>
                <c:pt idx="71">
                  <c:v>7.2999999999999545</c:v>
                </c:pt>
                <c:pt idx="72">
                  <c:v>7.3999999999999773</c:v>
                </c:pt>
                <c:pt idx="73">
                  <c:v>7.5</c:v>
                </c:pt>
                <c:pt idx="74">
                  <c:v>7.6000000000000227</c:v>
                </c:pt>
                <c:pt idx="75">
                  <c:v>7.6999999999999318</c:v>
                </c:pt>
                <c:pt idx="76">
                  <c:v>7.7999999999999545</c:v>
                </c:pt>
                <c:pt idx="77">
                  <c:v>7.8999999999999773</c:v>
                </c:pt>
                <c:pt idx="78">
                  <c:v>8</c:v>
                </c:pt>
                <c:pt idx="79">
                  <c:v>8.1000000000000227</c:v>
                </c:pt>
                <c:pt idx="80">
                  <c:v>8.2000000000000455</c:v>
                </c:pt>
                <c:pt idx="81">
                  <c:v>8.3000000000000682</c:v>
                </c:pt>
                <c:pt idx="82">
                  <c:v>8.3999999999999773</c:v>
                </c:pt>
                <c:pt idx="83">
                  <c:v>8.5</c:v>
                </c:pt>
                <c:pt idx="84">
                  <c:v>8.6000000000000227</c:v>
                </c:pt>
                <c:pt idx="85">
                  <c:v>8.7000000000000455</c:v>
                </c:pt>
                <c:pt idx="86">
                  <c:v>8.8000000000000682</c:v>
                </c:pt>
                <c:pt idx="87">
                  <c:v>8.9000000000000909</c:v>
                </c:pt>
                <c:pt idx="88">
                  <c:v>9.0000000000001137</c:v>
                </c:pt>
                <c:pt idx="89">
                  <c:v>9.1000000000000227</c:v>
                </c:pt>
                <c:pt idx="90">
                  <c:v>9.2000000000000455</c:v>
                </c:pt>
                <c:pt idx="91">
                  <c:v>9.3000000000000682</c:v>
                </c:pt>
                <c:pt idx="92">
                  <c:v>9.4000000000000909</c:v>
                </c:pt>
                <c:pt idx="93">
                  <c:v>9.4999999999998863</c:v>
                </c:pt>
                <c:pt idx="94">
                  <c:v>9.5999999999999091</c:v>
                </c:pt>
                <c:pt idx="95">
                  <c:v>9.6999999999999318</c:v>
                </c:pt>
                <c:pt idx="96">
                  <c:v>9.7999999999999545</c:v>
                </c:pt>
                <c:pt idx="97">
                  <c:v>9.8999999999999773</c:v>
                </c:pt>
                <c:pt idx="98">
                  <c:v>9.9999999999998863</c:v>
                </c:pt>
                <c:pt idx="99">
                  <c:v>10.099999999999909</c:v>
                </c:pt>
                <c:pt idx="100">
                  <c:v>10.199999999999932</c:v>
                </c:pt>
                <c:pt idx="101">
                  <c:v>10.299999999999955</c:v>
                </c:pt>
                <c:pt idx="102">
                  <c:v>10.399999999999977</c:v>
                </c:pt>
                <c:pt idx="103">
                  <c:v>10.5</c:v>
                </c:pt>
                <c:pt idx="104">
                  <c:v>10.600000000000023</c:v>
                </c:pt>
                <c:pt idx="105">
                  <c:v>10.699999999999932</c:v>
                </c:pt>
                <c:pt idx="106">
                  <c:v>10.799999999999955</c:v>
                </c:pt>
                <c:pt idx="107">
                  <c:v>10.899999999999977</c:v>
                </c:pt>
                <c:pt idx="108">
                  <c:v>11</c:v>
                </c:pt>
                <c:pt idx="109">
                  <c:v>11.100000000000023</c:v>
                </c:pt>
                <c:pt idx="110">
                  <c:v>11.200000000000045</c:v>
                </c:pt>
                <c:pt idx="111">
                  <c:v>11.300000000000068</c:v>
                </c:pt>
                <c:pt idx="112">
                  <c:v>11.400000000000091</c:v>
                </c:pt>
                <c:pt idx="113">
                  <c:v>11.5</c:v>
                </c:pt>
                <c:pt idx="114">
                  <c:v>11.600000000000023</c:v>
                </c:pt>
                <c:pt idx="115">
                  <c:v>11.700000000000045</c:v>
                </c:pt>
                <c:pt idx="116">
                  <c:v>11.800000000000068</c:v>
                </c:pt>
                <c:pt idx="117">
                  <c:v>11.900000000000091</c:v>
                </c:pt>
                <c:pt idx="118">
                  <c:v>12.000000000000114</c:v>
                </c:pt>
                <c:pt idx="119">
                  <c:v>12.100000000000136</c:v>
                </c:pt>
                <c:pt idx="120">
                  <c:v>12.200000000000045</c:v>
                </c:pt>
                <c:pt idx="121">
                  <c:v>12.299999999999841</c:v>
                </c:pt>
                <c:pt idx="122">
                  <c:v>12.399999999999864</c:v>
                </c:pt>
                <c:pt idx="123">
                  <c:v>12.499999999999886</c:v>
                </c:pt>
                <c:pt idx="124">
                  <c:v>12.599999999999909</c:v>
                </c:pt>
                <c:pt idx="125">
                  <c:v>12.699999999999932</c:v>
                </c:pt>
                <c:pt idx="126">
                  <c:v>12.799999999999955</c:v>
                </c:pt>
                <c:pt idx="127">
                  <c:v>12.899999999999977</c:v>
                </c:pt>
                <c:pt idx="128">
                  <c:v>13</c:v>
                </c:pt>
                <c:pt idx="129">
                  <c:v>13.099999999999909</c:v>
                </c:pt>
                <c:pt idx="130">
                  <c:v>13.199999999999932</c:v>
                </c:pt>
                <c:pt idx="131">
                  <c:v>13.299999999999955</c:v>
                </c:pt>
                <c:pt idx="132">
                  <c:v>13.399999999999977</c:v>
                </c:pt>
              </c:numCache>
            </c:numRef>
          </c:xVal>
          <c:yVal>
            <c:numRef>
              <c:f>'probe laser time profile measur'!$E$6:$E$138</c:f>
              <c:numCache>
                <c:formatCode>0.00E+00</c:formatCode>
                <c:ptCount val="133"/>
                <c:pt idx="0">
                  <c:v>174.00031405680315</c:v>
                </c:pt>
                <c:pt idx="1">
                  <c:v>174.03853244949516</c:v>
                </c:pt>
                <c:pt idx="2">
                  <c:v>174.0902086052389</c:v>
                </c:pt>
                <c:pt idx="3">
                  <c:v>174.15972355627446</c:v>
                </c:pt>
                <c:pt idx="4">
                  <c:v>174.25275572463406</c:v>
                </c:pt>
                <c:pt idx="5">
                  <c:v>174.37662153826926</c:v>
                </c:pt>
                <c:pt idx="6">
                  <c:v>174.54069165671393</c:v>
                </c:pt>
                <c:pt idx="7">
                  <c:v>174.75689548324138</c:v>
                </c:pt>
                <c:pt idx="8">
                  <c:v>175.04032759545436</c:v>
                </c:pt>
                <c:pt idx="9">
                  <c:v>175.40997039631674</c:v>
                </c:pt>
                <c:pt idx="10">
                  <c:v>175.88954754033603</c:v>
                </c:pt>
                <c:pt idx="11">
                  <c:v>176.50852237072368</c:v>
                </c:pt>
                <c:pt idx="12">
                  <c:v>177.30325453924414</c:v>
                </c:pt>
                <c:pt idx="13">
                  <c:v>178.31832598200717</c:v>
                </c:pt>
                <c:pt idx="14">
                  <c:v>179.60804429415415</c:v>
                </c:pt>
                <c:pt idx="15">
                  <c:v>181.23812708729645</c:v>
                </c:pt>
                <c:pt idx="16">
                  <c:v>183.28756494206405</c:v>
                </c:pt>
                <c:pt idx="17">
                  <c:v>185.85065292866224</c:v>
                </c:pt>
                <c:pt idx="18">
                  <c:v>189.03917125194928</c:v>
                </c:pt>
                <c:pt idx="19">
                  <c:v>192.98468434159125</c:v>
                </c:pt>
                <c:pt idx="20">
                  <c:v>197.84091469801152</c:v>
                </c:pt>
                <c:pt idx="21">
                  <c:v>203.78613317709377</c:v>
                </c:pt>
                <c:pt idx="22">
                  <c:v>211.02549143775454</c:v>
                </c:pt>
                <c:pt idx="23">
                  <c:v>219.79320542314753</c:v>
                </c:pt>
                <c:pt idx="24">
                  <c:v>230.35448159576669</c:v>
                </c:pt>
                <c:pt idx="25">
                  <c:v>243.00706096546483</c:v>
                </c:pt>
                <c:pt idx="26">
                  <c:v>258.08224066647068</c:v>
                </c:pt>
                <c:pt idx="27">
                  <c:v>275.94522003294458</c:v>
                </c:pt>
                <c:pt idx="28">
                  <c:v>296.99460898989207</c:v>
                </c:pt>
                <c:pt idx="29">
                  <c:v>321.66093239139843</c:v>
                </c:pt>
                <c:pt idx="30">
                  <c:v>350.40396599230007</c:v>
                </c:pt>
                <c:pt idx="31">
                  <c:v>383.70874927263236</c:v>
                </c:pt>
                <c:pt idx="32">
                  <c:v>422.08013844301303</c:v>
                </c:pt>
                <c:pt idx="33">
                  <c:v>466.03579051420445</c:v>
                </c:pt>
                <c:pt idx="34">
                  <c:v>516.09750685162578</c:v>
                </c:pt>
                <c:pt idx="35">
                  <c:v>572.78091226865706</c:v>
                </c:pt>
                <c:pt idx="36">
                  <c:v>636.58350304043927</c:v>
                </c:pt>
                <c:pt idx="37">
                  <c:v>707.97116325371564</c:v>
                </c:pt>
                <c:pt idx="38">
                  <c:v>787.36332203610391</c:v>
                </c:pt>
                <c:pt idx="39">
                  <c:v>875.11700214802875</c:v>
                </c:pt>
                <c:pt idx="40">
                  <c:v>971.51009029972431</c:v>
                </c:pt>
                <c:pt idx="41">
                  <c:v>1076.7242378920498</c:v>
                </c:pt>
                <c:pt idx="42">
                  <c:v>1190.8278737884527</c:v>
                </c:pt>
                <c:pt idx="43">
                  <c:v>1313.7598739894529</c:v>
                </c:pt>
                <c:pt idx="44">
                  <c:v>1445.3144824050178</c:v>
                </c:pt>
                <c:pt idx="45">
                  <c:v>1585.1281081362499</c:v>
                </c:pt>
                <c:pt idx="46">
                  <c:v>1732.6686340005276</c:v>
                </c:pt>
                <c:pt idx="47">
                  <c:v>1887.2278553484425</c:v>
                </c:pt>
                <c:pt idx="48">
                  <c:v>2047.9176252888717</c:v>
                </c:pt>
                <c:pt idx="49">
                  <c:v>2213.6702112016665</c:v>
                </c:pt>
                <c:pt idx="50">
                  <c:v>2383.2432681157388</c:v>
                </c:pt>
                <c:pt idx="51">
                  <c:v>2555.2297088790942</c:v>
                </c:pt>
                <c:pt idx="52">
                  <c:v>2728.0726022669169</c:v>
                </c:pt>
                <c:pt idx="53">
                  <c:v>2900.0850629519668</c:v>
                </c:pt>
                <c:pt idx="54">
                  <c:v>3069.4749176564828</c:v>
                </c:pt>
                <c:pt idx="55">
                  <c:v>3234.3737469595967</c:v>
                </c:pt>
                <c:pt idx="56">
                  <c:v>3392.8697201605255</c:v>
                </c:pt>
                <c:pt idx="57">
                  <c:v>3543.0434697043147</c:v>
                </c:pt>
                <c:pt idx="58">
                  <c:v>3683.006100400316</c:v>
                </c:pt>
                <c:pt idx="59">
                  <c:v>3810.9383049719768</c:v>
                </c:pt>
                <c:pt idx="60">
                  <c:v>3925.1294684171576</c:v>
                </c:pt>
                <c:pt idx="61">
                  <c:v>4024.0155949116042</c:v>
                </c:pt>
                <c:pt idx="62">
                  <c:v>4106.2148865144982</c:v>
                </c:pt>
                <c:pt idx="63">
                  <c:v>4170.5598446353133</c:v>
                </c:pt>
                <c:pt idx="64">
                  <c:v>4216.1248528212091</c:v>
                </c:pt>
                <c:pt idx="65">
                  <c:v>4242.2483303479767</c:v>
                </c:pt>
                <c:pt idx="66">
                  <c:v>4248.5487155900082</c:v>
                </c:pt>
                <c:pt idx="67">
                  <c:v>4234.9337394493577</c:v>
                </c:pt>
                <c:pt idx="68">
                  <c:v>4201.6026738250121</c:v>
                </c:pt>
                <c:pt idx="69">
                  <c:v>4149.0414785375133</c:v>
                </c:pt>
                <c:pt idx="70">
                  <c:v>4078.0110119089486</c:v>
                </c:pt>
                <c:pt idx="71">
                  <c:v>3989.5287047640022</c:v>
                </c:pt>
                <c:pt idx="72">
                  <c:v>3884.8443147829712</c:v>
                </c:pt>
                <c:pt idx="73">
                  <c:v>3765.410568645103</c:v>
                </c:pt>
                <c:pt idx="74">
                  <c:v>3632.8496553978753</c:v>
                </c:pt>
                <c:pt idx="75">
                  <c:v>3488.9166499224152</c:v>
                </c:pt>
                <c:pt idx="76">
                  <c:v>3335.4610162658169</c:v>
                </c:pt>
                <c:pt idx="77">
                  <c:v>3174.3873652535576</c:v>
                </c:pt>
                <c:pt idx="78">
                  <c:v>3007.6166196999284</c:v>
                </c:pt>
                <c:pt idx="79">
                  <c:v>2837.0486764148018</c:v>
                </c:pt>
                <c:pt idx="80">
                  <c:v>2664.5275516665279</c:v>
                </c:pt>
                <c:pt idx="81">
                  <c:v>2491.809862050125</c:v>
                </c:pt>
                <c:pt idx="82">
                  <c:v>2320.5373332601876</c:v>
                </c:pt>
                <c:pt idx="83">
                  <c:v>2152.2138532722201</c:v>
                </c:pt>
                <c:pt idx="84">
                  <c:v>1988.1874023823029</c:v>
                </c:pt>
                <c:pt idx="85">
                  <c:v>1829.6370087388652</c:v>
                </c:pt>
                <c:pt idx="86">
                  <c:v>1677.5647021729158</c:v>
                </c:pt>
                <c:pt idx="87">
                  <c:v>1532.7922780548543</c:v>
                </c:pt>
                <c:pt idx="88">
                  <c:v>1395.9625421606745</c:v>
                </c:pt>
                <c:pt idx="89">
                  <c:v>1267.5445912733876</c:v>
                </c:pt>
                <c:pt idx="90">
                  <c:v>1147.8425951413824</c:v>
                </c:pt>
                <c:pt idx="91">
                  <c:v>1037.0074846331029</c:v>
                </c:pt>
                <c:pt idx="92">
                  <c:v>935.05091819969107</c:v>
                </c:pt>
                <c:pt idx="93">
                  <c:v>841.86089258106733</c:v>
                </c:pt>
                <c:pt idx="94">
                  <c:v>757.21838146415246</c:v>
                </c:pt>
                <c:pt idx="95">
                  <c:v>680.81442414617482</c:v>
                </c:pt>
                <c:pt idx="96">
                  <c:v>612.26714119514418</c:v>
                </c:pt>
                <c:pt idx="97">
                  <c:v>551.13822141602259</c:v>
                </c:pt>
                <c:pt idx="98">
                  <c:v>496.94849980773131</c:v>
                </c:pt>
                <c:pt idx="99">
                  <c:v>449.19232553532072</c:v>
                </c:pt>
                <c:pt idx="100">
                  <c:v>407.35049848039057</c:v>
                </c:pt>
                <c:pt idx="101">
                  <c:v>370.90162940787195</c:v>
                </c:pt>
                <c:pt idx="102">
                  <c:v>339.33184953671787</c:v>
                </c:pt>
                <c:pt idx="103">
                  <c:v>312.14285828839002</c:v>
                </c:pt>
                <c:pt idx="104">
                  <c:v>288.85835183287992</c:v>
                </c:pt>
                <c:pt idx="105">
                  <c:v>269.02891899092833</c:v>
                </c:pt>
                <c:pt idx="106">
                  <c:v>252.2355248804941</c:v>
                </c:pt>
                <c:pt idx="107">
                  <c:v>238.09172669578072</c:v>
                </c:pt>
                <c:pt idx="108">
                  <c:v>226.24478084712379</c:v>
                </c:pt>
                <c:pt idx="109">
                  <c:v>216.37580733676631</c:v>
                </c:pt>
                <c:pt idx="110">
                  <c:v>208.19917685707441</c:v>
                </c:pt>
                <c:pt idx="111">
                  <c:v>201.46127994310768</c:v>
                </c:pt>
                <c:pt idx="112">
                  <c:v>195.93882688282864</c:v>
                </c:pt>
                <c:pt idx="113">
                  <c:v>191.43681323755638</c:v>
                </c:pt>
                <c:pt idx="114">
                  <c:v>187.78626991024791</c:v>
                </c:pt>
                <c:pt idx="115">
                  <c:v>184.84189974593684</c:v>
                </c:pt>
                <c:pt idx="116">
                  <c:v>182.47968552718703</c:v>
                </c:pt>
                <c:pt idx="117">
                  <c:v>180.59453764232208</c:v>
                </c:pt>
                <c:pt idx="118">
                  <c:v>179.09803419224741</c:v>
                </c:pt>
                <c:pt idx="119">
                  <c:v>177.91629224281024</c:v>
                </c:pt>
                <c:pt idx="120">
                  <c:v>176.98799656020336</c:v>
                </c:pt>
                <c:pt idx="121">
                  <c:v>176.26260159980538</c:v>
                </c:pt>
                <c:pt idx="122">
                  <c:v>175.69871376473566</c:v>
                </c:pt>
                <c:pt idx="123">
                  <c:v>175.26265393976419</c:v>
                </c:pt>
                <c:pt idx="124">
                  <c:v>174.92719491068436</c:v>
                </c:pt>
                <c:pt idx="125">
                  <c:v>174.67046433111983</c:v>
                </c:pt>
                <c:pt idx="126">
                  <c:v>174.47500120770894</c:v>
                </c:pt>
                <c:pt idx="127">
                  <c:v>174.32695224239373</c:v>
                </c:pt>
                <c:pt idx="128">
                  <c:v>174.21539360169135</c:v>
                </c:pt>
                <c:pt idx="129">
                  <c:v>174.13176359333664</c:v>
                </c:pt>
                <c:pt idx="130">
                  <c:v>174.0693921536367</c:v>
                </c:pt>
                <c:pt idx="131">
                  <c:v>174.02311383791877</c:v>
                </c:pt>
                <c:pt idx="132">
                  <c:v>173.98895203731547</c:v>
                </c:pt>
              </c:numCache>
            </c:numRef>
          </c:yVal>
          <c:smooth val="0"/>
        </c:ser>
        <c:dLbls>
          <c:showLegendKey val="0"/>
          <c:showVal val="0"/>
          <c:showCatName val="0"/>
          <c:showSerName val="0"/>
          <c:showPercent val="0"/>
          <c:showBubbleSize val="0"/>
        </c:dLbls>
        <c:axId val="84801408"/>
        <c:axId val="84803584"/>
      </c:scatterChart>
      <c:valAx>
        <c:axId val="84801408"/>
        <c:scaling>
          <c:orientation val="minMax"/>
        </c:scaling>
        <c:delete val="0"/>
        <c:axPos val="b"/>
        <c:title>
          <c:tx>
            <c:rich>
              <a:bodyPr/>
              <a:lstStyle/>
              <a:p>
                <a:pPr>
                  <a:defRPr/>
                </a:pPr>
                <a:r>
                  <a:rPr lang="en-GB"/>
                  <a:t>Time / ns</a:t>
                </a:r>
              </a:p>
            </c:rich>
          </c:tx>
          <c:overlay val="0"/>
        </c:title>
        <c:numFmt formatCode="#,##0" sourceLinked="0"/>
        <c:majorTickMark val="out"/>
        <c:minorTickMark val="none"/>
        <c:tickLblPos val="nextTo"/>
        <c:crossAx val="84803584"/>
        <c:crosses val="autoZero"/>
        <c:crossBetween val="midCat"/>
      </c:valAx>
      <c:valAx>
        <c:axId val="84803584"/>
        <c:scaling>
          <c:orientation val="minMax"/>
        </c:scaling>
        <c:delete val="0"/>
        <c:axPos val="l"/>
        <c:title>
          <c:tx>
            <c:rich>
              <a:bodyPr rot="-5400000" vert="horz"/>
              <a:lstStyle/>
              <a:p>
                <a:pPr>
                  <a:defRPr/>
                </a:pPr>
                <a:r>
                  <a:rPr lang="en-GB"/>
                  <a:t>arbitary signal</a:t>
                </a:r>
              </a:p>
            </c:rich>
          </c:tx>
          <c:overlay val="0"/>
        </c:title>
        <c:numFmt formatCode="#,##0" sourceLinked="0"/>
        <c:majorTickMark val="out"/>
        <c:minorTickMark val="none"/>
        <c:tickLblPos val="nextTo"/>
        <c:crossAx val="84801408"/>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135649213815092E-2"/>
          <c:y val="5.0154873206010531E-2"/>
          <c:w val="0.92482366215611322"/>
          <c:h val="0.74088368076057898"/>
        </c:manualLayout>
      </c:layout>
      <c:scatterChart>
        <c:scatterStyle val="lineMarker"/>
        <c:varyColors val="0"/>
        <c:ser>
          <c:idx val="0"/>
          <c:order val="0"/>
          <c:tx>
            <c:v>O data</c:v>
          </c:tx>
          <c:spPr>
            <a:ln w="28575">
              <a:noFill/>
            </a:ln>
          </c:spPr>
          <c:errBars>
            <c:errDir val="y"/>
            <c:errBarType val="both"/>
            <c:errValType val="cust"/>
            <c:noEndCap val="0"/>
            <c:plus>
              <c:numRef>
                <c:f>'summary of data'!$I$11:$I$45</c:f>
                <c:numCache>
                  <c:formatCode>General</c:formatCode>
                  <c:ptCount val="35"/>
                  <c:pt idx="0">
                    <c:v>2068.3628791873052</c:v>
                  </c:pt>
                  <c:pt idx="1">
                    <c:v>2962.5</c:v>
                  </c:pt>
                  <c:pt idx="2">
                    <c:v>768.04797213455356</c:v>
                  </c:pt>
                  <c:pt idx="3">
                    <c:v>815.02096510072613</c:v>
                  </c:pt>
                  <c:pt idx="4">
                    <c:v>771.57521506331454</c:v>
                  </c:pt>
                  <c:pt idx="5">
                    <c:v>2872.8796528918506</c:v>
                  </c:pt>
                  <c:pt idx="6">
                    <c:v>1447.7368821716193</c:v>
                  </c:pt>
                  <c:pt idx="7">
                    <c:v>513.86152479696955</c:v>
                  </c:pt>
                  <c:pt idx="8">
                    <c:v>452.18689098093057</c:v>
                  </c:pt>
                  <c:pt idx="12">
                    <c:v>119867.191433482</c:v>
                  </c:pt>
                  <c:pt idx="13">
                    <c:v>116775.09751655103</c:v>
                  </c:pt>
                </c:numCache>
              </c:numRef>
            </c:plus>
            <c:minus>
              <c:numRef>
                <c:f>'summary of data'!$I$11:$I$64</c:f>
                <c:numCache>
                  <c:formatCode>General</c:formatCode>
                  <c:ptCount val="54"/>
                  <c:pt idx="0">
                    <c:v>2068.3628791873052</c:v>
                  </c:pt>
                  <c:pt idx="1">
                    <c:v>2962.5</c:v>
                  </c:pt>
                  <c:pt idx="2">
                    <c:v>768.04797213455356</c:v>
                  </c:pt>
                  <c:pt idx="3">
                    <c:v>815.02096510072613</c:v>
                  </c:pt>
                  <c:pt idx="4">
                    <c:v>771.57521506331454</c:v>
                  </c:pt>
                  <c:pt idx="5">
                    <c:v>2872.8796528918506</c:v>
                  </c:pt>
                  <c:pt idx="6">
                    <c:v>1447.7368821716193</c:v>
                  </c:pt>
                  <c:pt idx="7">
                    <c:v>513.86152479696955</c:v>
                  </c:pt>
                  <c:pt idx="8">
                    <c:v>452.18689098093057</c:v>
                  </c:pt>
                  <c:pt idx="12">
                    <c:v>119867.191433482</c:v>
                  </c:pt>
                  <c:pt idx="13">
                    <c:v>116775.09751655103</c:v>
                  </c:pt>
                </c:numCache>
              </c:numRef>
            </c:minus>
            <c:spPr>
              <a:ln w="19050">
                <a:solidFill>
                  <a:schemeClr val="accent1"/>
                </a:solidFill>
              </a:ln>
            </c:spPr>
          </c:errBars>
          <c:xVal>
            <c:numRef>
              <c:f>'summary of data'!$B$11:$B$19</c:f>
              <c:numCache>
                <c:formatCode>General</c:formatCode>
                <c:ptCount val="9"/>
                <c:pt idx="0">
                  <c:v>12</c:v>
                </c:pt>
                <c:pt idx="1">
                  <c:v>15</c:v>
                </c:pt>
                <c:pt idx="2">
                  <c:v>18</c:v>
                </c:pt>
                <c:pt idx="3">
                  <c:v>19</c:v>
                </c:pt>
                <c:pt idx="4">
                  <c:v>27</c:v>
                </c:pt>
                <c:pt idx="5">
                  <c:v>37</c:v>
                </c:pt>
                <c:pt idx="6">
                  <c:v>47</c:v>
                </c:pt>
                <c:pt idx="7">
                  <c:v>64</c:v>
                </c:pt>
                <c:pt idx="8">
                  <c:v>79</c:v>
                </c:pt>
              </c:numCache>
            </c:numRef>
          </c:xVal>
          <c:yVal>
            <c:numRef>
              <c:f>'summary of data'!$H$11:$H$19</c:f>
              <c:numCache>
                <c:formatCode>0</c:formatCode>
                <c:ptCount val="9"/>
                <c:pt idx="0">
                  <c:v>2775</c:v>
                </c:pt>
                <c:pt idx="1">
                  <c:v>3258.75</c:v>
                </c:pt>
                <c:pt idx="2">
                  <c:v>1707.75</c:v>
                </c:pt>
                <c:pt idx="3">
                  <c:v>2325.090909090909</c:v>
                </c:pt>
                <c:pt idx="4">
                  <c:v>2363</c:v>
                </c:pt>
                <c:pt idx="5">
                  <c:v>3368.75</c:v>
                </c:pt>
                <c:pt idx="6">
                  <c:v>2279.6000000000004</c:v>
                </c:pt>
                <c:pt idx="7">
                  <c:v>1019.3333333333333</c:v>
                </c:pt>
                <c:pt idx="8">
                  <c:v>814</c:v>
                </c:pt>
              </c:numCache>
            </c:numRef>
          </c:yVal>
          <c:smooth val="0"/>
        </c:ser>
        <c:ser>
          <c:idx val="1"/>
          <c:order val="1"/>
          <c:tx>
            <c:v>Exponential fit</c:v>
          </c:tx>
          <c:spPr>
            <a:ln>
              <a:solidFill>
                <a:schemeClr val="accent6"/>
              </a:solidFill>
              <a:prstDash val="dash"/>
            </a:ln>
          </c:spPr>
          <c:marker>
            <c:symbol val="none"/>
          </c:marker>
          <c:trendline>
            <c:spPr>
              <a:ln>
                <a:noFill/>
              </a:ln>
            </c:spPr>
            <c:trendlineType val="exp"/>
            <c:dispRSqr val="0"/>
            <c:dispEq val="0"/>
          </c:trendline>
          <c:xVal>
            <c:numRef>
              <c:f>'summary of data'!$B$10:$B$22</c:f>
              <c:numCache>
                <c:formatCode>General</c:formatCode>
                <c:ptCount val="13"/>
                <c:pt idx="0">
                  <c:v>0</c:v>
                </c:pt>
                <c:pt idx="1">
                  <c:v>12</c:v>
                </c:pt>
                <c:pt idx="2">
                  <c:v>15</c:v>
                </c:pt>
                <c:pt idx="3">
                  <c:v>18</c:v>
                </c:pt>
                <c:pt idx="4">
                  <c:v>19</c:v>
                </c:pt>
                <c:pt idx="5">
                  <c:v>27</c:v>
                </c:pt>
                <c:pt idx="6">
                  <c:v>37</c:v>
                </c:pt>
                <c:pt idx="7">
                  <c:v>47</c:v>
                </c:pt>
                <c:pt idx="8">
                  <c:v>64</c:v>
                </c:pt>
                <c:pt idx="9">
                  <c:v>79</c:v>
                </c:pt>
                <c:pt idx="10">
                  <c:v>100</c:v>
                </c:pt>
                <c:pt idx="11">
                  <c:v>150</c:v>
                </c:pt>
                <c:pt idx="12">
                  <c:v>200</c:v>
                </c:pt>
              </c:numCache>
            </c:numRef>
          </c:xVal>
          <c:yVal>
            <c:numRef>
              <c:f>'summary of data'!$L$10:$L$22</c:f>
              <c:numCache>
                <c:formatCode>0</c:formatCode>
                <c:ptCount val="13"/>
                <c:pt idx="0">
                  <c:v>3024.7908141380008</c:v>
                </c:pt>
                <c:pt idx="1">
                  <c:v>2610.8091694511354</c:v>
                </c:pt>
                <c:pt idx="2">
                  <c:v>2516.4892255036621</c:v>
                </c:pt>
                <c:pt idx="3">
                  <c:v>2425.576750753994</c:v>
                </c:pt>
                <c:pt idx="4">
                  <c:v>2396.0084015487464</c:v>
                </c:pt>
                <c:pt idx="5">
                  <c:v>2172.075210643045</c:v>
                </c:pt>
                <c:pt idx="6">
                  <c:v>1921.3567583727565</c:v>
                </c:pt>
                <c:pt idx="7">
                  <c:v>1699.5782534858731</c:v>
                </c:pt>
                <c:pt idx="8">
                  <c:v>1379.7090913383547</c:v>
                </c:pt>
                <c:pt idx="9">
                  <c:v>1147.8555959817234</c:v>
                </c:pt>
                <c:pt idx="10">
                  <c:v>887.21091793341941</c:v>
                </c:pt>
                <c:pt idx="11">
                  <c:v>480.49917198093834</c:v>
                </c:pt>
                <c:pt idx="12">
                  <c:v>260.23062792346485</c:v>
                </c:pt>
              </c:numCache>
            </c:numRef>
          </c:yVal>
          <c:smooth val="0"/>
        </c:ser>
        <c:ser>
          <c:idx val="2"/>
          <c:order val="2"/>
          <c:tx>
            <c:v>Old SH data (scaled)</c:v>
          </c:tx>
          <c:spPr>
            <a:ln w="28575">
              <a:noFill/>
            </a:ln>
          </c:spPr>
          <c:marker>
            <c:symbol val="x"/>
            <c:size val="7"/>
            <c:spPr>
              <a:ln>
                <a:solidFill>
                  <a:schemeClr val="accent4">
                    <a:lumMod val="60000"/>
                    <a:lumOff val="40000"/>
                  </a:schemeClr>
                </a:solidFill>
              </a:ln>
            </c:spPr>
          </c:marker>
          <c:errBars>
            <c:errDir val="y"/>
            <c:errBarType val="both"/>
            <c:errValType val="cust"/>
            <c:noEndCap val="0"/>
            <c:plus>
              <c:numRef>
                <c:f>'summary of data'!$AB$10:$AB$19</c:f>
                <c:numCache>
                  <c:formatCode>General</c:formatCode>
                  <c:ptCount val="10"/>
                  <c:pt idx="0">
                    <c:v>1782.0000000000002</c:v>
                  </c:pt>
                  <c:pt idx="1">
                    <c:v>1422</c:v>
                  </c:pt>
                  <c:pt idx="2">
                    <c:v>756</c:v>
                  </c:pt>
                  <c:pt idx="3">
                    <c:v>2658</c:v>
                  </c:pt>
                  <c:pt idx="4">
                    <c:v>882</c:v>
                  </c:pt>
                  <c:pt idx="5">
                    <c:v>894</c:v>
                  </c:pt>
                  <c:pt idx="6">
                    <c:v>318.59999999999997</c:v>
                  </c:pt>
                  <c:pt idx="7">
                    <c:v>497.4</c:v>
                  </c:pt>
                  <c:pt idx="8">
                    <c:v>498</c:v>
                  </c:pt>
                  <c:pt idx="9">
                    <c:v>213</c:v>
                  </c:pt>
                </c:numCache>
              </c:numRef>
            </c:plus>
            <c:minus>
              <c:numRef>
                <c:f>'summary of data'!$AB$10:$AB$19</c:f>
                <c:numCache>
                  <c:formatCode>General</c:formatCode>
                  <c:ptCount val="10"/>
                  <c:pt idx="0">
                    <c:v>1782.0000000000002</c:v>
                  </c:pt>
                  <c:pt idx="1">
                    <c:v>1422</c:v>
                  </c:pt>
                  <c:pt idx="2">
                    <c:v>756</c:v>
                  </c:pt>
                  <c:pt idx="3">
                    <c:v>2658</c:v>
                  </c:pt>
                  <c:pt idx="4">
                    <c:v>882</c:v>
                  </c:pt>
                  <c:pt idx="5">
                    <c:v>894</c:v>
                  </c:pt>
                  <c:pt idx="6">
                    <c:v>318.59999999999997</c:v>
                  </c:pt>
                  <c:pt idx="7">
                    <c:v>497.4</c:v>
                  </c:pt>
                  <c:pt idx="8">
                    <c:v>498</c:v>
                  </c:pt>
                  <c:pt idx="9">
                    <c:v>213</c:v>
                  </c:pt>
                </c:numCache>
              </c:numRef>
            </c:minus>
            <c:spPr>
              <a:ln w="22225">
                <a:solidFill>
                  <a:schemeClr val="accent4">
                    <a:lumMod val="60000"/>
                    <a:lumOff val="40000"/>
                  </a:schemeClr>
                </a:solidFill>
              </a:ln>
            </c:spPr>
          </c:errBars>
          <c:xVal>
            <c:numRef>
              <c:f>'summary of data'!$W$10:$W$19</c:f>
              <c:numCache>
                <c:formatCode>0</c:formatCode>
                <c:ptCount val="10"/>
                <c:pt idx="0">
                  <c:v>5</c:v>
                </c:pt>
                <c:pt idx="1">
                  <c:v>11</c:v>
                </c:pt>
                <c:pt idx="2">
                  <c:v>17</c:v>
                </c:pt>
                <c:pt idx="3">
                  <c:v>23</c:v>
                </c:pt>
                <c:pt idx="4">
                  <c:v>28.5</c:v>
                </c:pt>
                <c:pt idx="5">
                  <c:v>39</c:v>
                </c:pt>
                <c:pt idx="6">
                  <c:v>51.8</c:v>
                </c:pt>
                <c:pt idx="7">
                  <c:v>66.600000000000009</c:v>
                </c:pt>
                <c:pt idx="8">
                  <c:v>75.099999999999994</c:v>
                </c:pt>
                <c:pt idx="9">
                  <c:v>80</c:v>
                </c:pt>
              </c:numCache>
            </c:numRef>
          </c:xVal>
          <c:yVal>
            <c:numRef>
              <c:f>'summary of data'!$Z$10:$Z$19</c:f>
              <c:numCache>
                <c:formatCode>0.00E+00</c:formatCode>
                <c:ptCount val="10"/>
                <c:pt idx="0">
                  <c:v>3084</c:v>
                </c:pt>
                <c:pt idx="1">
                  <c:v>3492</c:v>
                </c:pt>
                <c:pt idx="2">
                  <c:v>2574</c:v>
                </c:pt>
                <c:pt idx="3">
                  <c:v>2982</c:v>
                </c:pt>
                <c:pt idx="4">
                  <c:v>1722</c:v>
                </c:pt>
                <c:pt idx="5">
                  <c:v>1104</c:v>
                </c:pt>
                <c:pt idx="6">
                  <c:v>648</c:v>
                </c:pt>
                <c:pt idx="7">
                  <c:v>684</c:v>
                </c:pt>
                <c:pt idx="8">
                  <c:v>948.00000000000011</c:v>
                </c:pt>
                <c:pt idx="9">
                  <c:v>445.2</c:v>
                </c:pt>
              </c:numCache>
            </c:numRef>
          </c:yVal>
          <c:smooth val="0"/>
        </c:ser>
        <c:dLbls>
          <c:showLegendKey val="0"/>
          <c:showVal val="0"/>
          <c:showCatName val="0"/>
          <c:showSerName val="0"/>
          <c:showPercent val="0"/>
          <c:showBubbleSize val="0"/>
        </c:dLbls>
        <c:axId val="76516736"/>
        <c:axId val="76518912"/>
      </c:scatterChart>
      <c:valAx>
        <c:axId val="76516736"/>
        <c:scaling>
          <c:orientation val="minMax"/>
          <c:max val="100"/>
        </c:scaling>
        <c:delete val="0"/>
        <c:axPos val="b"/>
        <c:title>
          <c:tx>
            <c:rich>
              <a:bodyPr/>
              <a:lstStyle/>
              <a:p>
                <a:pPr>
                  <a:defRPr/>
                </a:pPr>
                <a:r>
                  <a:rPr lang="en-GB"/>
                  <a:t>Laser delay time / ms</a:t>
                </a:r>
              </a:p>
            </c:rich>
          </c:tx>
          <c:layout/>
          <c:overlay val="0"/>
        </c:title>
        <c:numFmt formatCode="General" sourceLinked="1"/>
        <c:majorTickMark val="out"/>
        <c:minorTickMark val="none"/>
        <c:tickLblPos val="nextTo"/>
        <c:crossAx val="76518912"/>
        <c:crosses val="autoZero"/>
        <c:crossBetween val="midCat"/>
      </c:valAx>
      <c:valAx>
        <c:axId val="76518912"/>
        <c:scaling>
          <c:orientation val="minMax"/>
        </c:scaling>
        <c:delete val="0"/>
        <c:axPos val="l"/>
        <c:title>
          <c:tx>
            <c:rich>
              <a:bodyPr rot="-5400000" vert="horz"/>
              <a:lstStyle/>
              <a:p>
                <a:pPr>
                  <a:defRPr/>
                </a:pPr>
                <a:r>
                  <a:rPr lang="en-GB"/>
                  <a:t>Trapped</a:t>
                </a:r>
                <a:r>
                  <a:rPr lang="en-GB" baseline="0"/>
                  <a:t> oxygen denasity / cm^-3</a:t>
                </a:r>
                <a:endParaRPr lang="en-GB"/>
              </a:p>
            </c:rich>
          </c:tx>
          <c:layout/>
          <c:overlay val="0"/>
        </c:title>
        <c:numFmt formatCode="0" sourceLinked="1"/>
        <c:majorTickMark val="out"/>
        <c:minorTickMark val="none"/>
        <c:tickLblPos val="nextTo"/>
        <c:crossAx val="76516736"/>
        <c:crosses val="autoZero"/>
        <c:crossBetween val="midCat"/>
      </c:valAx>
    </c:plotArea>
    <c:legend>
      <c:legendPos val="r"/>
      <c:legendEntry>
        <c:idx val="3"/>
        <c:delete val="1"/>
      </c:legendEntry>
      <c:layout>
        <c:manualLayout>
          <c:xMode val="edge"/>
          <c:yMode val="edge"/>
          <c:x val="0.81880961319385459"/>
          <c:y val="1.588570826924748E-2"/>
          <c:w val="0.11195504211356481"/>
          <c:h val="0.18755921125705363"/>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08'!$AM$8:$AM$10</c:f>
                <c:numCache>
                  <c:formatCode>General</c:formatCode>
                  <c:ptCount val="3"/>
                  <c:pt idx="0">
                    <c:v>2068.3628791873052</c:v>
                  </c:pt>
                  <c:pt idx="1">
                    <c:v>815.02096510072613</c:v>
                  </c:pt>
                </c:numCache>
              </c:numRef>
            </c:plus>
            <c:minus>
              <c:numRef>
                <c:f>'cryo on data 08'!$AM$8:$AM$10</c:f>
                <c:numCache>
                  <c:formatCode>General</c:formatCode>
                  <c:ptCount val="3"/>
                  <c:pt idx="0">
                    <c:v>2068.3628791873052</c:v>
                  </c:pt>
                  <c:pt idx="1">
                    <c:v>815.02096510072613</c:v>
                  </c:pt>
                </c:numCache>
              </c:numRef>
            </c:minus>
          </c:errBars>
          <c:xVal>
            <c:numRef>
              <c:f>'cryo on data 08'!$AD$8:$AD$10</c:f>
              <c:numCache>
                <c:formatCode>0.00E+00</c:formatCode>
                <c:ptCount val="3"/>
                <c:pt idx="0">
                  <c:v>1.2E-2</c:v>
                </c:pt>
                <c:pt idx="1">
                  <c:v>1.9E-2</c:v>
                </c:pt>
              </c:numCache>
            </c:numRef>
          </c:xVal>
          <c:yVal>
            <c:numRef>
              <c:f>'cryo on data 08'!$AL$8:$AL$10</c:f>
              <c:numCache>
                <c:formatCode>0.00E+00</c:formatCode>
                <c:ptCount val="3"/>
                <c:pt idx="0">
                  <c:v>2775</c:v>
                </c:pt>
                <c:pt idx="1">
                  <c:v>2325.090909090909</c:v>
                </c:pt>
              </c:numCache>
            </c:numRef>
          </c:yVal>
          <c:smooth val="0"/>
        </c:ser>
        <c:dLbls>
          <c:showLegendKey val="0"/>
          <c:showVal val="0"/>
          <c:showCatName val="0"/>
          <c:showSerName val="0"/>
          <c:showPercent val="0"/>
          <c:showBubbleSize val="0"/>
        </c:dLbls>
        <c:axId val="76528640"/>
        <c:axId val="76534912"/>
      </c:scatterChart>
      <c:valAx>
        <c:axId val="76528640"/>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6534912"/>
        <c:crosses val="autoZero"/>
        <c:crossBetween val="midCat"/>
      </c:valAx>
      <c:valAx>
        <c:axId val="76534912"/>
        <c:scaling>
          <c:orientation val="minMax"/>
        </c:scaling>
        <c:delete val="0"/>
        <c:axPos val="l"/>
        <c:title>
          <c:tx>
            <c:rich>
              <a:bodyPr rot="-5400000" vert="horz"/>
              <a:lstStyle/>
              <a:p>
                <a:pPr>
                  <a:defRPr/>
                </a:pPr>
                <a:r>
                  <a:rPr lang="en-GB"/>
                  <a:t>absolute oxygen density</a:t>
                </a:r>
              </a:p>
            </c:rich>
          </c:tx>
          <c:overlay val="0"/>
        </c:title>
        <c:numFmt formatCode="General" sourceLinked="0"/>
        <c:majorTickMark val="out"/>
        <c:minorTickMark val="none"/>
        <c:tickLblPos val="nextTo"/>
        <c:crossAx val="76528640"/>
        <c:crosses val="autoZero"/>
        <c:crossBetween val="midCat"/>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09'!$AK$8:$AK$10</c:f>
                <c:numCache>
                  <c:formatCode>General</c:formatCode>
                  <c:ptCount val="3"/>
                  <c:pt idx="0">
                    <c:v>771.57521506331454</c:v>
                  </c:pt>
                  <c:pt idx="1">
                    <c:v>513.86152479696955</c:v>
                  </c:pt>
                </c:numCache>
              </c:numRef>
            </c:plus>
            <c:minus>
              <c:numRef>
                <c:f>'cryo on data 09'!$AK$8:$AK$10</c:f>
                <c:numCache>
                  <c:formatCode>General</c:formatCode>
                  <c:ptCount val="3"/>
                  <c:pt idx="0">
                    <c:v>771.57521506331454</c:v>
                  </c:pt>
                  <c:pt idx="1">
                    <c:v>513.86152479696955</c:v>
                  </c:pt>
                </c:numCache>
              </c:numRef>
            </c:minus>
          </c:errBars>
          <c:xVal>
            <c:numRef>
              <c:f>'cryo on data 09'!$AD$8:$AD$10</c:f>
              <c:numCache>
                <c:formatCode>0.00E+00</c:formatCode>
                <c:ptCount val="3"/>
                <c:pt idx="0">
                  <c:v>2.7E-2</c:v>
                </c:pt>
                <c:pt idx="1">
                  <c:v>6.4000000000000001E-2</c:v>
                </c:pt>
              </c:numCache>
            </c:numRef>
          </c:xVal>
          <c:yVal>
            <c:numRef>
              <c:f>'cryo on data 09'!$AJ$8:$AJ$10</c:f>
              <c:numCache>
                <c:formatCode>0.00E+00</c:formatCode>
                <c:ptCount val="3"/>
                <c:pt idx="0">
                  <c:v>2363</c:v>
                </c:pt>
                <c:pt idx="1">
                  <c:v>1019.3333333333333</c:v>
                </c:pt>
              </c:numCache>
            </c:numRef>
          </c:yVal>
          <c:smooth val="0"/>
        </c:ser>
        <c:dLbls>
          <c:showLegendKey val="0"/>
          <c:showVal val="0"/>
          <c:showCatName val="0"/>
          <c:showSerName val="0"/>
          <c:showPercent val="0"/>
          <c:showBubbleSize val="0"/>
        </c:dLbls>
        <c:axId val="76678656"/>
        <c:axId val="76680576"/>
      </c:scatterChart>
      <c:valAx>
        <c:axId val="76678656"/>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6680576"/>
        <c:crosses val="autoZero"/>
        <c:crossBetween val="midCat"/>
      </c:valAx>
      <c:valAx>
        <c:axId val="76680576"/>
        <c:scaling>
          <c:orientation val="minMax"/>
        </c:scaling>
        <c:delete val="0"/>
        <c:axPos val="l"/>
        <c:title>
          <c:tx>
            <c:rich>
              <a:bodyPr rot="-5400000" vert="horz"/>
              <a:lstStyle/>
              <a:p>
                <a:pPr>
                  <a:defRPr/>
                </a:pPr>
                <a:r>
                  <a:rPr lang="en-GB"/>
                  <a:t>absolute oxygen density</a:t>
                </a:r>
              </a:p>
            </c:rich>
          </c:tx>
          <c:overlay val="0"/>
        </c:title>
        <c:numFmt formatCode="General" sourceLinked="0"/>
        <c:majorTickMark val="out"/>
        <c:minorTickMark val="none"/>
        <c:tickLblPos val="nextTo"/>
        <c:crossAx val="76678656"/>
        <c:crosses val="autoZero"/>
        <c:crossBetween val="midCat"/>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12'!$AM$8:$AM$10</c:f>
                <c:numCache>
                  <c:formatCode>General</c:formatCode>
                  <c:ptCount val="3"/>
                  <c:pt idx="0">
                    <c:v>1447.7368821716193</c:v>
                  </c:pt>
                </c:numCache>
              </c:numRef>
            </c:plus>
            <c:minus>
              <c:numRef>
                <c:f>'cryo on data 12'!$AM$8:$AM$10</c:f>
                <c:numCache>
                  <c:formatCode>General</c:formatCode>
                  <c:ptCount val="3"/>
                  <c:pt idx="0">
                    <c:v>1447.7368821716193</c:v>
                  </c:pt>
                </c:numCache>
              </c:numRef>
            </c:minus>
          </c:errBars>
          <c:xVal>
            <c:numRef>
              <c:f>'cryo on data 12'!$AD$8:$AD$10</c:f>
              <c:numCache>
                <c:formatCode>0.00E+00</c:formatCode>
                <c:ptCount val="3"/>
                <c:pt idx="0">
                  <c:v>4.7E-2</c:v>
                </c:pt>
              </c:numCache>
            </c:numRef>
          </c:xVal>
          <c:yVal>
            <c:numRef>
              <c:f>'cryo on data 12'!$AL$8:$AL$10</c:f>
              <c:numCache>
                <c:formatCode>0.00E+00</c:formatCode>
                <c:ptCount val="3"/>
                <c:pt idx="0">
                  <c:v>2279.6000000000004</c:v>
                </c:pt>
              </c:numCache>
            </c:numRef>
          </c:yVal>
          <c:smooth val="0"/>
        </c:ser>
        <c:dLbls>
          <c:showLegendKey val="0"/>
          <c:showVal val="0"/>
          <c:showCatName val="0"/>
          <c:showSerName val="0"/>
          <c:showPercent val="0"/>
          <c:showBubbleSize val="0"/>
        </c:dLbls>
        <c:axId val="76697984"/>
        <c:axId val="76699904"/>
      </c:scatterChart>
      <c:valAx>
        <c:axId val="76697984"/>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6699904"/>
        <c:crosses val="autoZero"/>
        <c:crossBetween val="midCat"/>
      </c:valAx>
      <c:valAx>
        <c:axId val="76699904"/>
        <c:scaling>
          <c:orientation val="minMax"/>
        </c:scaling>
        <c:delete val="0"/>
        <c:axPos val="l"/>
        <c:title>
          <c:tx>
            <c:rich>
              <a:bodyPr rot="-5400000" vert="horz"/>
              <a:lstStyle/>
              <a:p>
                <a:pPr>
                  <a:defRPr/>
                </a:pPr>
                <a:r>
                  <a:rPr lang="en-GB"/>
                  <a:t>absolute oxygen density</a:t>
                </a:r>
              </a:p>
            </c:rich>
          </c:tx>
          <c:overlay val="0"/>
        </c:title>
        <c:numFmt formatCode="General" sourceLinked="0"/>
        <c:majorTickMark val="out"/>
        <c:minorTickMark val="none"/>
        <c:tickLblPos val="nextTo"/>
        <c:crossAx val="76697984"/>
        <c:crosses val="autoZero"/>
        <c:crossBetween val="midCat"/>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13'!$AN$8:$AN$15</c:f>
                <c:numCache>
                  <c:formatCode>General</c:formatCode>
                  <c:ptCount val="8"/>
                  <c:pt idx="0">
                    <c:v>63205.379517885973</c:v>
                  </c:pt>
                  <c:pt idx="1">
                    <c:v>59949.728940171204</c:v>
                  </c:pt>
                  <c:pt idx="2">
                    <c:v>48374.476741356077</c:v>
                  </c:pt>
                  <c:pt idx="3">
                    <c:v>43536.191840812171</c:v>
                  </c:pt>
                  <c:pt idx="4">
                    <c:v>34045.704574879928</c:v>
                  </c:pt>
                  <c:pt idx="7">
                    <c:v>119867.19143348238</c:v>
                  </c:pt>
                </c:numCache>
              </c:numRef>
            </c:plus>
            <c:minus>
              <c:numRef>
                <c:f>'cryo on data 13'!$AN$8:$AN$15</c:f>
                <c:numCache>
                  <c:formatCode>General</c:formatCode>
                  <c:ptCount val="8"/>
                  <c:pt idx="0">
                    <c:v>63205.379517885973</c:v>
                  </c:pt>
                  <c:pt idx="1">
                    <c:v>59949.728940171204</c:v>
                  </c:pt>
                  <c:pt idx="2">
                    <c:v>48374.476741356077</c:v>
                  </c:pt>
                  <c:pt idx="3">
                    <c:v>43536.191840812171</c:v>
                  </c:pt>
                  <c:pt idx="4">
                    <c:v>34045.704574879928</c:v>
                  </c:pt>
                  <c:pt idx="7">
                    <c:v>119867.19143348238</c:v>
                  </c:pt>
                </c:numCache>
              </c:numRef>
            </c:minus>
          </c:errBars>
          <c:xVal>
            <c:numRef>
              <c:f>'cryo on data 13'!$AE$8:$AE$15</c:f>
              <c:numCache>
                <c:formatCode>0.00E+00</c:formatCode>
                <c:ptCount val="8"/>
                <c:pt idx="0">
                  <c:v>5.0000000000000001E-9</c:v>
                </c:pt>
                <c:pt idx="1">
                  <c:v>1.9999999999999999E-7</c:v>
                </c:pt>
                <c:pt idx="2">
                  <c:v>6.9999999999999997E-7</c:v>
                </c:pt>
                <c:pt idx="3">
                  <c:v>1.3999999999999999E-6</c:v>
                </c:pt>
                <c:pt idx="4">
                  <c:v>3.0000000000000001E-6</c:v>
                </c:pt>
                <c:pt idx="7">
                  <c:v>5.0000000000000001E-9</c:v>
                </c:pt>
              </c:numCache>
            </c:numRef>
          </c:xVal>
          <c:yVal>
            <c:numRef>
              <c:f>'cryo on data 13'!$AM$8:$AM$15</c:f>
              <c:numCache>
                <c:formatCode>0.00E+00</c:formatCode>
                <c:ptCount val="8"/>
                <c:pt idx="0">
                  <c:v>1028700</c:v>
                </c:pt>
                <c:pt idx="1">
                  <c:v>853200</c:v>
                </c:pt>
                <c:pt idx="2">
                  <c:v>502200</c:v>
                </c:pt>
                <c:pt idx="3">
                  <c:v>342900</c:v>
                </c:pt>
                <c:pt idx="4">
                  <c:v>51300</c:v>
                </c:pt>
                <c:pt idx="7">
                  <c:v>4588413.8666666672</c:v>
                </c:pt>
              </c:numCache>
            </c:numRef>
          </c:yVal>
          <c:smooth val="0"/>
        </c:ser>
        <c:dLbls>
          <c:showLegendKey val="0"/>
          <c:showVal val="0"/>
          <c:showCatName val="0"/>
          <c:showSerName val="0"/>
          <c:showPercent val="0"/>
          <c:showBubbleSize val="0"/>
        </c:dLbls>
        <c:axId val="77372416"/>
        <c:axId val="77382784"/>
      </c:scatterChart>
      <c:valAx>
        <c:axId val="77372416"/>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7382784"/>
        <c:crosses val="autoZero"/>
        <c:crossBetween val="midCat"/>
      </c:valAx>
      <c:valAx>
        <c:axId val="77382784"/>
        <c:scaling>
          <c:orientation val="minMax"/>
        </c:scaling>
        <c:delete val="0"/>
        <c:axPos val="l"/>
        <c:title>
          <c:tx>
            <c:rich>
              <a:bodyPr rot="-5400000" vert="horz"/>
              <a:lstStyle/>
              <a:p>
                <a:pPr>
                  <a:defRPr/>
                </a:pPr>
                <a:r>
                  <a:rPr lang="en-GB"/>
                  <a:t>absolute oxygen density</a:t>
                </a:r>
              </a:p>
            </c:rich>
          </c:tx>
          <c:overlay val="0"/>
        </c:title>
        <c:numFmt formatCode="0.0E+00" sourceLinked="0"/>
        <c:majorTickMark val="out"/>
        <c:minorTickMark val="none"/>
        <c:tickLblPos val="nextTo"/>
        <c:crossAx val="77372416"/>
        <c:crosses val="autoZero"/>
        <c:crossBetween val="midCat"/>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15'!$AN$8:$AN$15</c:f>
                <c:numCache>
                  <c:formatCode>General</c:formatCode>
                  <c:ptCount val="8"/>
                  <c:pt idx="1">
                    <c:v>116775.09751655103</c:v>
                  </c:pt>
                  <c:pt idx="2">
                    <c:v>768.04797213455356</c:v>
                  </c:pt>
                </c:numCache>
              </c:numRef>
            </c:plus>
            <c:minus>
              <c:numRef>
                <c:f>'cryo on data 15'!$AN$8:$AN$15</c:f>
                <c:numCache>
                  <c:formatCode>General</c:formatCode>
                  <c:ptCount val="8"/>
                  <c:pt idx="1">
                    <c:v>116775.09751655103</c:v>
                  </c:pt>
                  <c:pt idx="2">
                    <c:v>768.04797213455356</c:v>
                  </c:pt>
                </c:numCache>
              </c:numRef>
            </c:minus>
          </c:errBars>
          <c:xVal>
            <c:numRef>
              <c:f>'cryo on data 15'!$AE$8:$AE$15</c:f>
              <c:numCache>
                <c:formatCode>0.00E+00</c:formatCode>
                <c:ptCount val="8"/>
                <c:pt idx="1">
                  <c:v>5.0000000000000001E-9</c:v>
                </c:pt>
                <c:pt idx="2">
                  <c:v>1.7999999999999999E-2</c:v>
                </c:pt>
              </c:numCache>
            </c:numRef>
          </c:xVal>
          <c:yVal>
            <c:numRef>
              <c:f>'cryo on data 15'!$AM$8:$AM$15</c:f>
              <c:numCache>
                <c:formatCode>0.00E+00</c:formatCode>
                <c:ptCount val="8"/>
                <c:pt idx="1">
                  <c:v>1944050</c:v>
                </c:pt>
                <c:pt idx="2">
                  <c:v>1707.75</c:v>
                </c:pt>
              </c:numCache>
            </c:numRef>
          </c:yVal>
          <c:smooth val="0"/>
        </c:ser>
        <c:dLbls>
          <c:showLegendKey val="0"/>
          <c:showVal val="0"/>
          <c:showCatName val="0"/>
          <c:showSerName val="0"/>
          <c:showPercent val="0"/>
          <c:showBubbleSize val="0"/>
        </c:dLbls>
        <c:axId val="77395840"/>
        <c:axId val="77463552"/>
      </c:scatterChart>
      <c:valAx>
        <c:axId val="77395840"/>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7463552"/>
        <c:crosses val="autoZero"/>
        <c:crossBetween val="midCat"/>
      </c:valAx>
      <c:valAx>
        <c:axId val="77463552"/>
        <c:scaling>
          <c:orientation val="minMax"/>
        </c:scaling>
        <c:delete val="0"/>
        <c:axPos val="l"/>
        <c:title>
          <c:tx>
            <c:rich>
              <a:bodyPr rot="-5400000" vert="horz"/>
              <a:lstStyle/>
              <a:p>
                <a:pPr>
                  <a:defRPr/>
                </a:pPr>
                <a:r>
                  <a:rPr lang="en-GB"/>
                  <a:t>absolute oxygen density</a:t>
                </a:r>
              </a:p>
            </c:rich>
          </c:tx>
          <c:overlay val="0"/>
        </c:title>
        <c:numFmt formatCode="0.0E+00" sourceLinked="0"/>
        <c:majorTickMark val="out"/>
        <c:minorTickMark val="none"/>
        <c:tickLblPos val="nextTo"/>
        <c:crossAx val="77395840"/>
        <c:crosses val="autoZero"/>
        <c:crossBetween val="midCat"/>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16'!$AN$8:$AN$15</c:f>
                <c:numCache>
                  <c:formatCode>General</c:formatCode>
                  <c:ptCount val="8"/>
                  <c:pt idx="2">
                    <c:v>2872.8796528918506</c:v>
                  </c:pt>
                </c:numCache>
              </c:numRef>
            </c:plus>
            <c:minus>
              <c:numRef>
                <c:f>'cryo on data 16'!$AN$8:$AN$15</c:f>
                <c:numCache>
                  <c:formatCode>General</c:formatCode>
                  <c:ptCount val="8"/>
                  <c:pt idx="2">
                    <c:v>2872.8796528918506</c:v>
                  </c:pt>
                </c:numCache>
              </c:numRef>
            </c:minus>
          </c:errBars>
          <c:xVal>
            <c:numRef>
              <c:f>'cryo on data 16'!$AE$8:$AE$15</c:f>
              <c:numCache>
                <c:formatCode>0.00E+00</c:formatCode>
                <c:ptCount val="8"/>
                <c:pt idx="2">
                  <c:v>3.6999999999999998E-2</c:v>
                </c:pt>
              </c:numCache>
            </c:numRef>
          </c:xVal>
          <c:yVal>
            <c:numRef>
              <c:f>'cryo on data 16'!$AM$8:$AM$15</c:f>
              <c:numCache>
                <c:formatCode>0.00E+00</c:formatCode>
                <c:ptCount val="8"/>
                <c:pt idx="2">
                  <c:v>3368.75</c:v>
                </c:pt>
              </c:numCache>
            </c:numRef>
          </c:yVal>
          <c:smooth val="0"/>
        </c:ser>
        <c:dLbls>
          <c:showLegendKey val="0"/>
          <c:showVal val="0"/>
          <c:showCatName val="0"/>
          <c:showSerName val="0"/>
          <c:showPercent val="0"/>
          <c:showBubbleSize val="0"/>
        </c:dLbls>
        <c:axId val="78267136"/>
        <c:axId val="78269056"/>
      </c:scatterChart>
      <c:valAx>
        <c:axId val="78267136"/>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8269056"/>
        <c:crosses val="autoZero"/>
        <c:crossBetween val="midCat"/>
      </c:valAx>
      <c:valAx>
        <c:axId val="78269056"/>
        <c:scaling>
          <c:orientation val="minMax"/>
        </c:scaling>
        <c:delete val="0"/>
        <c:axPos val="l"/>
        <c:title>
          <c:tx>
            <c:rich>
              <a:bodyPr rot="-5400000" vert="horz"/>
              <a:lstStyle/>
              <a:p>
                <a:pPr>
                  <a:defRPr/>
                </a:pPr>
                <a:r>
                  <a:rPr lang="en-GB"/>
                  <a:t>absolute oxygen density</a:t>
                </a:r>
              </a:p>
            </c:rich>
          </c:tx>
          <c:overlay val="0"/>
        </c:title>
        <c:numFmt formatCode="0.0E+00" sourceLinked="0"/>
        <c:majorTickMark val="out"/>
        <c:minorTickMark val="none"/>
        <c:tickLblPos val="nextTo"/>
        <c:crossAx val="78267136"/>
        <c:crosses val="autoZero"/>
        <c:crossBetween val="midCat"/>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errBars>
            <c:errDir val="y"/>
            <c:errBarType val="both"/>
            <c:errValType val="cust"/>
            <c:noEndCap val="0"/>
            <c:plus>
              <c:numRef>
                <c:f>'cryo on data 19'!$AN$8:$AN$15</c:f>
                <c:numCache>
                  <c:formatCode>General</c:formatCode>
                  <c:ptCount val="8"/>
                  <c:pt idx="2">
                    <c:v>2962.5</c:v>
                  </c:pt>
                </c:numCache>
              </c:numRef>
            </c:plus>
            <c:minus>
              <c:numRef>
                <c:f>'cryo on data 19'!$AN$8:$AN$15</c:f>
                <c:numCache>
                  <c:formatCode>General</c:formatCode>
                  <c:ptCount val="8"/>
                  <c:pt idx="2">
                    <c:v>2962.5</c:v>
                  </c:pt>
                </c:numCache>
              </c:numRef>
            </c:minus>
          </c:errBars>
          <c:xVal>
            <c:numRef>
              <c:f>'cryo on data 19'!$AE$8:$AE$15</c:f>
              <c:numCache>
                <c:formatCode>0.00E+00</c:formatCode>
                <c:ptCount val="8"/>
                <c:pt idx="2">
                  <c:v>1.4999999999999999E-2</c:v>
                </c:pt>
              </c:numCache>
            </c:numRef>
          </c:xVal>
          <c:yVal>
            <c:numRef>
              <c:f>'cryo on data 19'!$AM$8:$AM$15</c:f>
              <c:numCache>
                <c:formatCode>0.00E+00</c:formatCode>
                <c:ptCount val="8"/>
                <c:pt idx="2">
                  <c:v>3258.75</c:v>
                </c:pt>
              </c:numCache>
            </c:numRef>
          </c:yVal>
          <c:smooth val="0"/>
        </c:ser>
        <c:dLbls>
          <c:showLegendKey val="0"/>
          <c:showVal val="0"/>
          <c:showCatName val="0"/>
          <c:showSerName val="0"/>
          <c:showPercent val="0"/>
          <c:showBubbleSize val="0"/>
        </c:dLbls>
        <c:axId val="78282112"/>
        <c:axId val="78292480"/>
      </c:scatterChart>
      <c:valAx>
        <c:axId val="78282112"/>
        <c:scaling>
          <c:orientation val="minMax"/>
        </c:scaling>
        <c:delete val="0"/>
        <c:axPos val="b"/>
        <c:title>
          <c:tx>
            <c:rich>
              <a:bodyPr/>
              <a:lstStyle/>
              <a:p>
                <a:pPr>
                  <a:defRPr/>
                </a:pPr>
                <a:r>
                  <a:rPr lang="en-GB"/>
                  <a:t>laser delay time</a:t>
                </a:r>
                <a:r>
                  <a:rPr lang="en-GB" baseline="0"/>
                  <a:t> / s</a:t>
                </a:r>
                <a:endParaRPr lang="en-GB"/>
              </a:p>
            </c:rich>
          </c:tx>
          <c:overlay val="0"/>
        </c:title>
        <c:numFmt formatCode="#,##0.0000" sourceLinked="0"/>
        <c:majorTickMark val="out"/>
        <c:minorTickMark val="none"/>
        <c:tickLblPos val="nextTo"/>
        <c:crossAx val="78292480"/>
        <c:crosses val="autoZero"/>
        <c:crossBetween val="midCat"/>
      </c:valAx>
      <c:valAx>
        <c:axId val="78292480"/>
        <c:scaling>
          <c:orientation val="minMax"/>
        </c:scaling>
        <c:delete val="0"/>
        <c:axPos val="l"/>
        <c:title>
          <c:tx>
            <c:rich>
              <a:bodyPr rot="-5400000" vert="horz"/>
              <a:lstStyle/>
              <a:p>
                <a:pPr>
                  <a:defRPr/>
                </a:pPr>
                <a:r>
                  <a:rPr lang="en-GB"/>
                  <a:t>absolute oxygen density</a:t>
                </a:r>
              </a:p>
            </c:rich>
          </c:tx>
          <c:overlay val="0"/>
        </c:title>
        <c:numFmt formatCode="0.0E+00" sourceLinked="0"/>
        <c:majorTickMark val="out"/>
        <c:minorTickMark val="none"/>
        <c:tickLblPos val="nextTo"/>
        <c:crossAx val="78282112"/>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28237</xdr:colOff>
      <xdr:row>24</xdr:row>
      <xdr:rowOff>142986</xdr:rowOff>
    </xdr:from>
    <xdr:to>
      <xdr:col>7</xdr:col>
      <xdr:colOff>2169458</xdr:colOff>
      <xdr:row>43</xdr:row>
      <xdr:rowOff>161363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2191871</xdr:colOff>
      <xdr:row>24</xdr:row>
      <xdr:rowOff>145676</xdr:rowOff>
    </xdr:from>
    <xdr:to>
      <xdr:col>19</xdr:col>
      <xdr:colOff>555812</xdr:colOff>
      <xdr:row>43</xdr:row>
      <xdr:rowOff>161364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533400</xdr:colOff>
      <xdr:row>6</xdr:row>
      <xdr:rowOff>106680</xdr:rowOff>
    </xdr:from>
    <xdr:to>
      <xdr:col>12</xdr:col>
      <xdr:colOff>198120</xdr:colOff>
      <xdr:row>30</xdr:row>
      <xdr:rowOff>53340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967740</xdr:colOff>
      <xdr:row>13</xdr:row>
      <xdr:rowOff>152400</xdr:rowOff>
    </xdr:from>
    <xdr:to>
      <xdr:col>26</xdr:col>
      <xdr:colOff>365760</xdr:colOff>
      <xdr:row>32</xdr:row>
      <xdr:rowOff>99060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480060</xdr:colOff>
      <xdr:row>7</xdr:row>
      <xdr:rowOff>76200</xdr:rowOff>
    </xdr:from>
    <xdr:to>
      <xdr:col>17</xdr:col>
      <xdr:colOff>144780</xdr:colOff>
      <xdr:row>27</xdr:row>
      <xdr:rowOff>167640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31</xdr:col>
      <xdr:colOff>518160</xdr:colOff>
      <xdr:row>11</xdr:row>
      <xdr:rowOff>87630</xdr:rowOff>
    </xdr:from>
    <xdr:to>
      <xdr:col>36</xdr:col>
      <xdr:colOff>815340</xdr:colOff>
      <xdr:row>30</xdr:row>
      <xdr:rowOff>15240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31</xdr:col>
      <xdr:colOff>0</xdr:colOff>
      <xdr:row>11</xdr:row>
      <xdr:rowOff>87630</xdr:rowOff>
    </xdr:from>
    <xdr:to>
      <xdr:col>34</xdr:col>
      <xdr:colOff>815340</xdr:colOff>
      <xdr:row>30</xdr:row>
      <xdr:rowOff>15240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31</xdr:col>
      <xdr:colOff>518160</xdr:colOff>
      <xdr:row>11</xdr:row>
      <xdr:rowOff>87630</xdr:rowOff>
    </xdr:from>
    <xdr:to>
      <xdr:col>36</xdr:col>
      <xdr:colOff>815340</xdr:colOff>
      <xdr:row>30</xdr:row>
      <xdr:rowOff>15240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32</xdr:col>
      <xdr:colOff>716280</xdr:colOff>
      <xdr:row>16</xdr:row>
      <xdr:rowOff>49530</xdr:rowOff>
    </xdr:from>
    <xdr:to>
      <xdr:col>38</xdr:col>
      <xdr:colOff>7620</xdr:colOff>
      <xdr:row>35</xdr:row>
      <xdr:rowOff>68580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32</xdr:col>
      <xdr:colOff>716280</xdr:colOff>
      <xdr:row>16</xdr:row>
      <xdr:rowOff>49530</xdr:rowOff>
    </xdr:from>
    <xdr:to>
      <xdr:col>38</xdr:col>
      <xdr:colOff>7620</xdr:colOff>
      <xdr:row>35</xdr:row>
      <xdr:rowOff>68580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32</xdr:col>
      <xdr:colOff>716280</xdr:colOff>
      <xdr:row>16</xdr:row>
      <xdr:rowOff>49530</xdr:rowOff>
    </xdr:from>
    <xdr:to>
      <xdr:col>38</xdr:col>
      <xdr:colOff>7620</xdr:colOff>
      <xdr:row>35</xdr:row>
      <xdr:rowOff>68580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32</xdr:col>
      <xdr:colOff>716280</xdr:colOff>
      <xdr:row>16</xdr:row>
      <xdr:rowOff>49530</xdr:rowOff>
    </xdr:from>
    <xdr:to>
      <xdr:col>38</xdr:col>
      <xdr:colOff>7620</xdr:colOff>
      <xdr:row>35</xdr:row>
      <xdr:rowOff>68580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32</xdr:col>
      <xdr:colOff>716280</xdr:colOff>
      <xdr:row>16</xdr:row>
      <xdr:rowOff>49530</xdr:rowOff>
    </xdr:from>
    <xdr:to>
      <xdr:col>38</xdr:col>
      <xdr:colOff>7620</xdr:colOff>
      <xdr:row>35</xdr:row>
      <xdr:rowOff>68580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ck%20Eardley%20PhD%20documents/2018/April/15-21/photostop%20experiment%20%20april%2018%20master%20spread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oxygen data"/>
      <sheetName val="Trap atoms lifetime graph"/>
      <sheetName val="11 ms data"/>
      <sheetName val="17 ms data "/>
      <sheetName val="19 ms data "/>
      <sheetName val="28 ms data"/>
      <sheetName val="38 ms data"/>
      <sheetName val="41 ms data"/>
      <sheetName val="74 ms data "/>
      <sheetName val="77 ms data"/>
      <sheetName val="comparison of SH and O"/>
      <sheetName val="absolute density calculator"/>
      <sheetName val=" beam dynamic density calculato"/>
      <sheetName val="Old SH decay data"/>
      <sheetName val="laser power adjustments"/>
      <sheetName val="probe laser time profile measur"/>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ow r="6">
          <cell r="C6">
            <v>0.20000000000004547</v>
          </cell>
        </row>
        <row r="7">
          <cell r="I7">
            <v>3.3659467562936194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tabSelected="1" topLeftCell="G13" zoomScale="85" zoomScaleNormal="85" workbookViewId="0">
      <selection activeCell="J20" sqref="J20"/>
    </sheetView>
  </sheetViews>
  <sheetFormatPr defaultRowHeight="14.4" x14ac:dyDescent="0.3"/>
  <cols>
    <col min="1" max="1" width="8.5546875" bestFit="1" customWidth="1"/>
    <col min="2" max="2" width="9.44140625" bestFit="1" customWidth="1"/>
    <col min="3" max="3" width="20.21875" bestFit="1" customWidth="1"/>
    <col min="4" max="4" width="20" bestFit="1" customWidth="1"/>
    <col min="5" max="5" width="22.44140625" bestFit="1" customWidth="1"/>
    <col min="6" max="6" width="20.33203125" bestFit="1" customWidth="1"/>
    <col min="7" max="7" width="18.5546875" bestFit="1" customWidth="1"/>
    <col min="8" max="8" width="56.88671875" customWidth="1"/>
    <col min="9" max="9" width="18.5546875" bestFit="1" customWidth="1"/>
    <col min="10" max="10" width="26.5546875" bestFit="1" customWidth="1"/>
    <col min="11" max="11" width="16.5546875" bestFit="1" customWidth="1"/>
    <col min="12" max="12" width="20.88671875" bestFit="1" customWidth="1"/>
    <col min="13" max="13" width="15.33203125" bestFit="1" customWidth="1"/>
    <col min="14" max="15" width="15.109375" customWidth="1"/>
    <col min="23" max="23" width="13.5546875" style="58" bestFit="1" customWidth="1"/>
    <col min="24" max="24" width="13.5546875" style="58" customWidth="1"/>
    <col min="25" max="25" width="8.88671875" style="58"/>
    <col min="26" max="26" width="16.5546875" bestFit="1" customWidth="1"/>
  </cols>
  <sheetData>
    <row r="1" spans="1:28" ht="21" x14ac:dyDescent="0.4">
      <c r="H1" s="40" t="s">
        <v>126</v>
      </c>
      <c r="L1" s="48"/>
      <c r="M1" s="48" t="s">
        <v>152</v>
      </c>
      <c r="N1" s="48" t="s">
        <v>17</v>
      </c>
      <c r="O1" s="21"/>
      <c r="Q1" s="51" t="s">
        <v>144</v>
      </c>
    </row>
    <row r="2" spans="1:28" ht="21" x14ac:dyDescent="0.4">
      <c r="H2" s="41">
        <f>(L10/H23)*100</f>
        <v>6.592236232463948E-2</v>
      </c>
      <c r="L2" s="48" t="s">
        <v>68</v>
      </c>
      <c r="M2" s="52">
        <f>1000/M3</f>
        <v>81.53185481608557</v>
      </c>
      <c r="N2" s="52">
        <f>M2*(N3/M3)</f>
        <v>3.2791451039637165</v>
      </c>
      <c r="O2" s="49"/>
      <c r="Q2" s="51">
        <f>1000/Q3</f>
        <v>200</v>
      </c>
    </row>
    <row r="3" spans="1:28" ht="21" x14ac:dyDescent="0.4">
      <c r="H3" s="40" t="s">
        <v>127</v>
      </c>
      <c r="L3" s="48" t="s">
        <v>70</v>
      </c>
      <c r="M3" s="49">
        <v>12.265144737056911</v>
      </c>
      <c r="N3" s="49">
        <f>SQRT(SUM(N11:N18)/M6)</f>
        <v>0.49329417814240134</v>
      </c>
      <c r="O3" s="49"/>
      <c r="Q3" s="51">
        <v>5</v>
      </c>
      <c r="W3" s="58" t="s">
        <v>189</v>
      </c>
    </row>
    <row r="4" spans="1:28" ht="25.8" x14ac:dyDescent="0.5">
      <c r="A4" s="50" t="s">
        <v>146</v>
      </c>
      <c r="H4" s="40">
        <f>33/20000</f>
        <v>1.65E-3</v>
      </c>
      <c r="L4" s="48" t="s">
        <v>69</v>
      </c>
      <c r="M4" s="52">
        <v>3024.7908141380008</v>
      </c>
      <c r="N4" s="52">
        <f>SQRT(SUM(O11:O18)/M6)</f>
        <v>917.55848416903018</v>
      </c>
      <c r="O4" s="49"/>
      <c r="Q4" s="51">
        <f>H23*H4/100</f>
        <v>75.708828800000006</v>
      </c>
    </row>
    <row r="5" spans="1:28" ht="21" x14ac:dyDescent="0.4">
      <c r="H5" s="40" t="s">
        <v>128</v>
      </c>
      <c r="I5" s="43">
        <f>H2/H4</f>
        <v>39.952946863417864</v>
      </c>
      <c r="L5" s="48" t="s">
        <v>64</v>
      </c>
      <c r="M5" s="49">
        <f>SUM(M11:M259)</f>
        <v>8232376.3909133915</v>
      </c>
      <c r="N5" s="49"/>
      <c r="O5" s="49"/>
      <c r="Q5" s="51"/>
    </row>
    <row r="6" spans="1:28" ht="21" x14ac:dyDescent="0.4">
      <c r="H6" s="40" t="s">
        <v>129</v>
      </c>
      <c r="I6" s="40"/>
      <c r="L6" s="48" t="s">
        <v>149</v>
      </c>
      <c r="M6" s="48">
        <f>SUM(N11:N18)*SUM(O11:O18)-(SUM(P11:P18))^2</f>
        <v>3.9506439390300319E-5</v>
      </c>
      <c r="N6" s="48"/>
      <c r="Q6" s="51"/>
    </row>
    <row r="7" spans="1:28" ht="21" x14ac:dyDescent="0.4">
      <c r="H7" s="40"/>
      <c r="I7" s="43"/>
      <c r="Q7" s="51"/>
    </row>
    <row r="8" spans="1:28" ht="21" x14ac:dyDescent="0.4">
      <c r="H8" s="40"/>
      <c r="I8" s="42"/>
      <c r="Q8" s="51"/>
    </row>
    <row r="9" spans="1:28" ht="22.2" x14ac:dyDescent="0.45">
      <c r="A9" t="s">
        <v>1</v>
      </c>
      <c r="B9" t="s">
        <v>67</v>
      </c>
      <c r="C9" t="s">
        <v>2</v>
      </c>
      <c r="D9" t="s">
        <v>5</v>
      </c>
      <c r="E9" s="6" t="s">
        <v>6</v>
      </c>
      <c r="F9" s="6" t="s">
        <v>15</v>
      </c>
      <c r="G9" s="18" t="s">
        <v>16</v>
      </c>
      <c r="H9" s="16" t="s">
        <v>72</v>
      </c>
      <c r="I9" s="16" t="s">
        <v>17</v>
      </c>
      <c r="J9" t="s">
        <v>8</v>
      </c>
      <c r="K9" t="s">
        <v>4</v>
      </c>
      <c r="L9" s="19" t="s">
        <v>63</v>
      </c>
      <c r="M9" s="19" t="s">
        <v>71</v>
      </c>
      <c r="N9" s="19" t="s">
        <v>148</v>
      </c>
      <c r="O9" s="19" t="s">
        <v>150</v>
      </c>
      <c r="P9" s="19" t="s">
        <v>151</v>
      </c>
      <c r="Q9" s="51" t="s">
        <v>143</v>
      </c>
      <c r="W9" s="58" t="s">
        <v>188</v>
      </c>
      <c r="X9" s="58" t="s">
        <v>191</v>
      </c>
      <c r="Y9" s="58" t="s">
        <v>190</v>
      </c>
      <c r="Z9" s="58" t="s">
        <v>192</v>
      </c>
      <c r="AA9" s="58" t="s">
        <v>17</v>
      </c>
      <c r="AB9" s="58" t="s">
        <v>193</v>
      </c>
    </row>
    <row r="10" spans="1:28" ht="18" x14ac:dyDescent="0.35">
      <c r="A10" s="61">
        <v>0</v>
      </c>
      <c r="B10" s="37">
        <f>A10*1000</f>
        <v>0</v>
      </c>
      <c r="C10" s="37"/>
      <c r="D10" s="37"/>
      <c r="E10" s="37"/>
      <c r="F10" s="37"/>
      <c r="G10" s="37"/>
      <c r="H10" s="37"/>
      <c r="I10" s="37"/>
      <c r="J10" s="37"/>
      <c r="K10" s="37"/>
      <c r="L10" s="38">
        <f>$M$4*EXP(-$M$3/1000*B10)</f>
        <v>3024.7908141380008</v>
      </c>
      <c r="M10" s="38"/>
      <c r="N10" s="38"/>
      <c r="O10" s="38"/>
      <c r="Q10" s="51">
        <f>$Q$4*EXP(-$Q$3/1000*B10)</f>
        <v>75.708828800000006</v>
      </c>
      <c r="W10" s="60">
        <v>5</v>
      </c>
      <c r="X10" s="59">
        <f t="shared" ref="X10:X19" si="0">W10/1000</f>
        <v>5.0000000000000001E-3</v>
      </c>
      <c r="Y10" s="59">
        <v>10280</v>
      </c>
      <c r="Z10" s="59">
        <f t="shared" ref="Z10:Z19" si="1">0.3*Y10</f>
        <v>3084</v>
      </c>
      <c r="AA10" s="59">
        <v>5940.0000000000009</v>
      </c>
      <c r="AB10" s="59">
        <f t="shared" ref="AB10:AB19" si="2">AA10*0.3</f>
        <v>1782.0000000000002</v>
      </c>
    </row>
    <row r="11" spans="1:28" ht="22.2" x14ac:dyDescent="0.45">
      <c r="A11" s="44">
        <v>1.2E-2</v>
      </c>
      <c r="B11">
        <f t="shared" ref="B11:B23" si="3">A11*1000</f>
        <v>12</v>
      </c>
      <c r="C11">
        <v>6000</v>
      </c>
      <c r="D11" s="5">
        <v>15</v>
      </c>
      <c r="E11" s="7">
        <v>2.5000000000000001E-3</v>
      </c>
      <c r="F11" s="7">
        <v>0.74535599249992979</v>
      </c>
      <c r="G11" s="22">
        <v>2.5000000000000001E-3</v>
      </c>
      <c r="H11" s="20">
        <v>2775</v>
      </c>
      <c r="I11" s="20">
        <v>2068.3628791873052</v>
      </c>
      <c r="J11" s="1">
        <v>2.4174807500000001E-3</v>
      </c>
      <c r="K11" s="1">
        <v>6.5380286250000001E-4</v>
      </c>
      <c r="L11" s="23">
        <f t="shared" ref="L11:L22" si="4">$M$4*EXP(-$M$3/1000*B11)</f>
        <v>2610.8091694511354</v>
      </c>
      <c r="M11" s="23">
        <f>((L11-H11)^2)/(F11*F11)</f>
        <v>48525.531905386757</v>
      </c>
      <c r="N11" s="53">
        <f>1/((I11)^2)</f>
        <v>2.3374726077428785E-7</v>
      </c>
      <c r="O11" s="23">
        <f>N11*H11*H11</f>
        <v>1.8000000000000005</v>
      </c>
      <c r="P11" s="53">
        <f>N11*H11</f>
        <v>6.4864864864864883E-4</v>
      </c>
      <c r="Q11" s="51">
        <f t="shared" ref="Q11:Q22" si="5">$Q$4*EXP(-$Q$3/1000*B11)</f>
        <v>71.29988984304174</v>
      </c>
      <c r="W11" s="60">
        <v>11</v>
      </c>
      <c r="X11" s="59">
        <f t="shared" si="0"/>
        <v>1.0999999999999999E-2</v>
      </c>
      <c r="Y11" s="59">
        <v>11640</v>
      </c>
      <c r="Z11" s="59">
        <f t="shared" si="1"/>
        <v>3492</v>
      </c>
      <c r="AA11" s="59">
        <v>4740</v>
      </c>
      <c r="AB11" s="59">
        <f t="shared" si="2"/>
        <v>1422</v>
      </c>
    </row>
    <row r="12" spans="1:28" ht="22.2" x14ac:dyDescent="0.45">
      <c r="A12" s="44">
        <v>1.4999999999999999E-2</v>
      </c>
      <c r="B12">
        <f t="shared" si="3"/>
        <v>15</v>
      </c>
      <c r="C12">
        <v>8000</v>
      </c>
      <c r="D12" s="5">
        <v>11</v>
      </c>
      <c r="E12" s="7">
        <v>1.3749999999999999E-3</v>
      </c>
      <c r="F12" s="7">
        <v>0.90909090909090906</v>
      </c>
      <c r="G12" s="22">
        <v>1.3749999999999999E-3</v>
      </c>
      <c r="H12" s="20">
        <v>3258.75</v>
      </c>
      <c r="I12" s="20">
        <v>2962.5</v>
      </c>
      <c r="J12" s="1">
        <v>2.1559314999999996E-3</v>
      </c>
      <c r="K12" s="1">
        <v>3.7996211249999995E-4</v>
      </c>
      <c r="L12" s="23">
        <f t="shared" si="4"/>
        <v>2516.4892255036621</v>
      </c>
      <c r="M12" s="23">
        <f>((L12-H12)^2)/(F12*F12)</f>
        <v>666650.77940064319</v>
      </c>
      <c r="N12" s="53">
        <f t="shared" ref="N12:N18" si="6">1/((I12)^2)</f>
        <v>1.1394185404760634E-7</v>
      </c>
      <c r="O12" s="23">
        <f t="shared" ref="O12:O18" si="7">N12*H12*H12</f>
        <v>1.21</v>
      </c>
      <c r="P12" s="53">
        <f t="shared" ref="P12:P18" si="8">N12*H12</f>
        <v>3.7130801687763714E-4</v>
      </c>
      <c r="Q12" s="51">
        <f t="shared" si="5"/>
        <v>70.238372776763555</v>
      </c>
      <c r="W12" s="60">
        <v>17</v>
      </c>
      <c r="X12" s="59">
        <f t="shared" si="0"/>
        <v>1.7000000000000001E-2</v>
      </c>
      <c r="Y12" s="59">
        <v>8580</v>
      </c>
      <c r="Z12" s="59">
        <f t="shared" si="1"/>
        <v>2574</v>
      </c>
      <c r="AA12" s="59">
        <v>2520</v>
      </c>
      <c r="AB12" s="59">
        <f t="shared" si="2"/>
        <v>756</v>
      </c>
    </row>
    <row r="13" spans="1:28" ht="22.2" x14ac:dyDescent="0.45">
      <c r="A13" s="44">
        <v>1.7999999999999999E-2</v>
      </c>
      <c r="B13">
        <f t="shared" si="3"/>
        <v>18</v>
      </c>
      <c r="C13">
        <v>8000</v>
      </c>
      <c r="D13" s="5">
        <v>23</v>
      </c>
      <c r="E13" s="7">
        <v>2.875E-3</v>
      </c>
      <c r="F13" s="7">
        <v>0.44974262751254784</v>
      </c>
      <c r="G13" s="22">
        <v>2.875E-3</v>
      </c>
      <c r="H13" s="20">
        <v>1707.75</v>
      </c>
      <c r="I13" s="20">
        <v>768.04797213455356</v>
      </c>
      <c r="J13" s="1">
        <v>7.5405969374999996E-3</v>
      </c>
      <c r="K13" s="1">
        <v>1.00015078125E-3</v>
      </c>
      <c r="L13" s="23">
        <f t="shared" si="4"/>
        <v>2425.576750753994</v>
      </c>
      <c r="M13" s="23">
        <f t="shared" ref="M13:M18" si="9">((L13-H13)^2)/(F13*F13)</f>
        <v>2547482.2815687982</v>
      </c>
      <c r="N13" s="53">
        <f t="shared" si="6"/>
        <v>1.6952092221924502E-6</v>
      </c>
      <c r="O13" s="23">
        <f t="shared" si="7"/>
        <v>4.94392523364486</v>
      </c>
      <c r="P13" s="53">
        <f t="shared" si="8"/>
        <v>2.8949935491991569E-3</v>
      </c>
      <c r="Q13" s="51">
        <f t="shared" si="5"/>
        <v>69.192659640680503</v>
      </c>
      <c r="W13" s="60">
        <v>23</v>
      </c>
      <c r="X13" s="59">
        <f t="shared" si="0"/>
        <v>2.3E-2</v>
      </c>
      <c r="Y13" s="59">
        <v>9940</v>
      </c>
      <c r="Z13" s="59">
        <f t="shared" si="1"/>
        <v>2982</v>
      </c>
      <c r="AA13" s="59">
        <v>8860</v>
      </c>
      <c r="AB13" s="59">
        <f t="shared" si="2"/>
        <v>2658</v>
      </c>
    </row>
    <row r="14" spans="1:28" ht="22.2" x14ac:dyDescent="0.45">
      <c r="A14" s="44">
        <v>1.9E-2</v>
      </c>
      <c r="B14">
        <f t="shared" si="3"/>
        <v>19</v>
      </c>
      <c r="C14">
        <v>5500</v>
      </c>
      <c r="D14" s="5">
        <v>23</v>
      </c>
      <c r="E14" s="7">
        <v>4.1818181818181815E-3</v>
      </c>
      <c r="F14" s="7">
        <v>0.35053294557819781</v>
      </c>
      <c r="G14" s="22">
        <v>4.1818181818181815E-3</v>
      </c>
      <c r="H14" s="20">
        <v>2325.090909090909</v>
      </c>
      <c r="I14" s="20">
        <v>815.02096510072613</v>
      </c>
      <c r="J14" s="1">
        <v>3.5811714999999999E-3</v>
      </c>
      <c r="K14" s="1">
        <v>8.6046574545454546E-4</v>
      </c>
      <c r="L14" s="23">
        <f t="shared" si="4"/>
        <v>2396.0084015487464</v>
      </c>
      <c r="M14" s="23">
        <f t="shared" si="9"/>
        <v>40930.689224806578</v>
      </c>
      <c r="N14" s="53">
        <f t="shared" si="6"/>
        <v>1.5054364919796314E-6</v>
      </c>
      <c r="O14" s="23">
        <f t="shared" si="7"/>
        <v>8.138461538461538</v>
      </c>
      <c r="P14" s="53">
        <f t="shared" si="8"/>
        <v>3.5002767017155503E-3</v>
      </c>
      <c r="Q14" s="51">
        <f t="shared" si="5"/>
        <v>68.847559811008963</v>
      </c>
      <c r="W14" s="60">
        <v>28.5</v>
      </c>
      <c r="X14" s="59">
        <f t="shared" si="0"/>
        <v>2.8500000000000001E-2</v>
      </c>
      <c r="Y14" s="59">
        <v>5740</v>
      </c>
      <c r="Z14" s="59">
        <f t="shared" si="1"/>
        <v>1722</v>
      </c>
      <c r="AA14" s="59">
        <v>2940</v>
      </c>
      <c r="AB14" s="59">
        <f t="shared" si="2"/>
        <v>882</v>
      </c>
    </row>
    <row r="15" spans="1:28" ht="22.2" x14ac:dyDescent="0.45">
      <c r="A15" s="44">
        <v>2.7E-2</v>
      </c>
      <c r="B15">
        <f t="shared" si="3"/>
        <v>27</v>
      </c>
      <c r="C15">
        <v>8000</v>
      </c>
      <c r="D15">
        <v>68</v>
      </c>
      <c r="E15" s="1">
        <v>8.5000000000000006E-3</v>
      </c>
      <c r="F15" s="1">
        <v>0.32652357810550764</v>
      </c>
      <c r="G15" s="22">
        <f>E15</f>
        <v>8.5000000000000006E-3</v>
      </c>
      <c r="H15" s="20">
        <v>2363</v>
      </c>
      <c r="I15" s="20">
        <v>771.57521506331454</v>
      </c>
      <c r="J15" s="1">
        <v>6.9252063124999996E-3</v>
      </c>
      <c r="K15" s="1">
        <v>1.1180178437500002E-3</v>
      </c>
      <c r="L15" s="23">
        <f t="shared" si="4"/>
        <v>2172.075210643045</v>
      </c>
      <c r="M15" s="23">
        <f t="shared" si="9"/>
        <v>341897.20179142605</v>
      </c>
      <c r="N15" s="53">
        <f t="shared" si="6"/>
        <v>1.6797454093870259E-6</v>
      </c>
      <c r="O15" s="23">
        <f t="shared" si="7"/>
        <v>9.3793103448275836</v>
      </c>
      <c r="P15" s="53">
        <f t="shared" si="8"/>
        <v>3.9692384023815421E-3</v>
      </c>
      <c r="Q15" s="51">
        <f t="shared" si="5"/>
        <v>66.14800837782532</v>
      </c>
      <c r="W15" s="60">
        <v>39</v>
      </c>
      <c r="X15" s="59">
        <f t="shared" si="0"/>
        <v>3.9E-2</v>
      </c>
      <c r="Y15" s="59">
        <v>3680</v>
      </c>
      <c r="Z15" s="59">
        <f t="shared" si="1"/>
        <v>1104</v>
      </c>
      <c r="AA15" s="59">
        <v>2980</v>
      </c>
      <c r="AB15" s="59">
        <f t="shared" si="2"/>
        <v>894</v>
      </c>
    </row>
    <row r="16" spans="1:28" ht="22.2" x14ac:dyDescent="0.45">
      <c r="A16" s="44">
        <v>3.6999999999999998E-2</v>
      </c>
      <c r="B16">
        <f t="shared" si="3"/>
        <v>37</v>
      </c>
      <c r="C16">
        <v>8000</v>
      </c>
      <c r="D16" s="5">
        <v>11</v>
      </c>
      <c r="E16" s="7">
        <v>1.3749999999999999E-3</v>
      </c>
      <c r="F16" s="7">
        <v>0.85280286542244177</v>
      </c>
      <c r="G16" s="22">
        <v>1.3749999999999999E-3</v>
      </c>
      <c r="H16" s="20">
        <v>3368.75</v>
      </c>
      <c r="I16" s="20">
        <v>2872.8796528918506</v>
      </c>
      <c r="J16" s="1">
        <v>3.2655828125E-3</v>
      </c>
      <c r="K16" s="1">
        <v>5.4442895624999999E-4</v>
      </c>
      <c r="L16" s="23">
        <f t="shared" si="4"/>
        <v>1921.3567583727565</v>
      </c>
      <c r="M16" s="23">
        <f t="shared" si="9"/>
        <v>2880552.3943738025</v>
      </c>
      <c r="N16" s="53">
        <f t="shared" si="6"/>
        <v>1.2116163719662262E-7</v>
      </c>
      <c r="O16" s="23">
        <f t="shared" si="7"/>
        <v>1.375</v>
      </c>
      <c r="P16" s="53">
        <f t="shared" si="8"/>
        <v>4.0816326530612246E-4</v>
      </c>
      <c r="Q16" s="51">
        <f t="shared" si="5"/>
        <v>62.921931941107189</v>
      </c>
      <c r="W16" s="60">
        <v>51.8</v>
      </c>
      <c r="X16" s="59">
        <f t="shared" si="0"/>
        <v>5.1799999999999999E-2</v>
      </c>
      <c r="Y16" s="59">
        <v>2160</v>
      </c>
      <c r="Z16" s="59">
        <f t="shared" si="1"/>
        <v>648</v>
      </c>
      <c r="AA16" s="59">
        <v>1062</v>
      </c>
      <c r="AB16" s="59">
        <f t="shared" si="2"/>
        <v>318.59999999999997</v>
      </c>
    </row>
    <row r="17" spans="1:28" ht="22.2" x14ac:dyDescent="0.45">
      <c r="A17" s="44">
        <v>4.7E-2</v>
      </c>
      <c r="B17">
        <f t="shared" si="3"/>
        <v>47</v>
      </c>
      <c r="C17">
        <v>5000</v>
      </c>
      <c r="D17">
        <v>41</v>
      </c>
      <c r="E17" s="1">
        <v>8.2000000000000007E-3</v>
      </c>
      <c r="F17" s="1">
        <v>0.63508373494105064</v>
      </c>
      <c r="G17" s="22">
        <v>8.2000000000000007E-3</v>
      </c>
      <c r="H17" s="20">
        <v>2279.6000000000004</v>
      </c>
      <c r="I17" s="20">
        <v>1447.7368821716193</v>
      </c>
      <c r="J17" s="1">
        <v>5.9193166000000002E-3</v>
      </c>
      <c r="K17" s="1">
        <v>4.9536630999999997E-4</v>
      </c>
      <c r="L17" s="23">
        <f t="shared" si="4"/>
        <v>1699.5782534858731</v>
      </c>
      <c r="M17" s="23">
        <f t="shared" si="9"/>
        <v>834116.23248916015</v>
      </c>
      <c r="N17" s="53">
        <f t="shared" si="6"/>
        <v>4.7711242096918993E-7</v>
      </c>
      <c r="O17" s="23">
        <f t="shared" si="7"/>
        <v>2.4793510324483772</v>
      </c>
      <c r="P17" s="53">
        <f t="shared" si="8"/>
        <v>1.0876254748413655E-3</v>
      </c>
      <c r="Q17" s="51">
        <f t="shared" si="5"/>
        <v>59.853193108812491</v>
      </c>
      <c r="W17" s="60">
        <v>66.600000000000009</v>
      </c>
      <c r="X17" s="59">
        <f t="shared" si="0"/>
        <v>6.6600000000000006E-2</v>
      </c>
      <c r="Y17" s="59">
        <v>2280</v>
      </c>
      <c r="Z17" s="59">
        <f t="shared" si="1"/>
        <v>684</v>
      </c>
      <c r="AA17" s="59">
        <v>1658</v>
      </c>
      <c r="AB17" s="59">
        <f t="shared" si="2"/>
        <v>497.4</v>
      </c>
    </row>
    <row r="18" spans="1:28" ht="22.2" x14ac:dyDescent="0.45">
      <c r="A18" s="44">
        <v>6.4000000000000001E-2</v>
      </c>
      <c r="B18">
        <f t="shared" si="3"/>
        <v>64</v>
      </c>
      <c r="C18">
        <v>6000</v>
      </c>
      <c r="D18">
        <v>22</v>
      </c>
      <c r="E18" s="1">
        <v>3.6666666666666666E-3</v>
      </c>
      <c r="F18" s="1">
        <v>0.50411529574588254</v>
      </c>
      <c r="G18" s="22">
        <f>E18</f>
        <v>3.6666666666666666E-3</v>
      </c>
      <c r="H18" s="20">
        <v>1019.3333333333333</v>
      </c>
      <c r="I18" s="20">
        <v>513.86152479696955</v>
      </c>
      <c r="J18" s="1">
        <v>7.0925180000000008E-3</v>
      </c>
      <c r="K18" s="1">
        <v>1.0917176666666666E-3</v>
      </c>
      <c r="L18" s="23">
        <f t="shared" si="4"/>
        <v>1379.7090913383547</v>
      </c>
      <c r="M18" s="23">
        <f t="shared" si="9"/>
        <v>511035.87388230744</v>
      </c>
      <c r="N18" s="53">
        <f t="shared" si="6"/>
        <v>3.7871089336637391E-6</v>
      </c>
      <c r="O18" s="23">
        <f t="shared" si="7"/>
        <v>3.9349593495934969</v>
      </c>
      <c r="P18" s="53">
        <f t="shared" si="8"/>
        <v>3.8603263730479045E-3</v>
      </c>
      <c r="Q18" s="51">
        <f t="shared" si="5"/>
        <v>54.975893131096925</v>
      </c>
      <c r="W18" s="60">
        <v>75.099999999999994</v>
      </c>
      <c r="X18" s="59">
        <f t="shared" si="0"/>
        <v>7.51E-2</v>
      </c>
      <c r="Y18" s="59">
        <v>3160.0000000000005</v>
      </c>
      <c r="Z18" s="59">
        <f t="shared" si="1"/>
        <v>948.00000000000011</v>
      </c>
      <c r="AA18" s="59">
        <v>1660</v>
      </c>
      <c r="AB18" s="59">
        <f t="shared" si="2"/>
        <v>498</v>
      </c>
    </row>
    <row r="19" spans="1:28" ht="22.2" x14ac:dyDescent="0.45">
      <c r="A19" s="44">
        <v>7.9000000000000001E-2</v>
      </c>
      <c r="B19">
        <f t="shared" si="3"/>
        <v>79</v>
      </c>
      <c r="C19">
        <v>8000</v>
      </c>
      <c r="D19" s="5">
        <v>16</v>
      </c>
      <c r="E19" s="7">
        <v>2E-3</v>
      </c>
      <c r="F19" s="7">
        <v>0.55551215108222429</v>
      </c>
      <c r="G19" s="22">
        <v>2E-3</v>
      </c>
      <c r="H19" s="20">
        <v>814</v>
      </c>
      <c r="I19" s="20">
        <v>452.18689098093057</v>
      </c>
      <c r="J19" s="1">
        <v>5.887510625E-3</v>
      </c>
      <c r="K19" s="1">
        <v>8.6636918749999998E-4</v>
      </c>
      <c r="L19" s="23">
        <f t="shared" ref="L19" si="10">$M$4*EXP(-$M$3/1000*B19)</f>
        <v>1147.8555959817234</v>
      </c>
      <c r="M19" s="23">
        <f>((L19-H19)^2)/(F19*F19)</f>
        <v>361185.40627706068</v>
      </c>
      <c r="N19" s="53">
        <f t="shared" ref="N19" si="11">1/((I19)^2)</f>
        <v>4.8906216293396338E-6</v>
      </c>
      <c r="O19" s="23">
        <f>N19*H19*H19</f>
        <v>3.2405063291139244</v>
      </c>
      <c r="P19" s="53">
        <f t="shared" ref="P19" si="12">N19*H19</f>
        <v>3.9809660062824622E-3</v>
      </c>
      <c r="Q19" s="51">
        <f t="shared" si="5"/>
        <v>51.003526757469807</v>
      </c>
      <c r="W19" s="60">
        <v>80</v>
      </c>
      <c r="X19" s="59">
        <f t="shared" si="0"/>
        <v>0.08</v>
      </c>
      <c r="Y19" s="59">
        <v>1484</v>
      </c>
      <c r="Z19" s="59">
        <f t="shared" si="1"/>
        <v>445.2</v>
      </c>
      <c r="AA19" s="59">
        <v>710</v>
      </c>
      <c r="AB19" s="59">
        <f t="shared" si="2"/>
        <v>213</v>
      </c>
    </row>
    <row r="20" spans="1:28" ht="22.2" x14ac:dyDescent="0.45">
      <c r="A20" s="61">
        <v>0.1</v>
      </c>
      <c r="B20" s="37">
        <f t="shared" si="3"/>
        <v>100</v>
      </c>
      <c r="E20" s="1"/>
      <c r="F20" s="1"/>
      <c r="G20" s="22"/>
      <c r="H20" s="20"/>
      <c r="I20" s="20"/>
      <c r="J20" s="1"/>
      <c r="K20" s="1"/>
      <c r="L20" s="38">
        <f t="shared" si="4"/>
        <v>887.21091793341941</v>
      </c>
      <c r="M20" s="23"/>
      <c r="N20" s="23"/>
      <c r="O20" s="23"/>
      <c r="Q20" s="51">
        <f t="shared" si="5"/>
        <v>45.919725878134827</v>
      </c>
    </row>
    <row r="21" spans="1:28" ht="22.2" x14ac:dyDescent="0.45">
      <c r="A21" s="61">
        <v>0.15</v>
      </c>
      <c r="B21" s="37">
        <f t="shared" si="3"/>
        <v>150</v>
      </c>
      <c r="E21" s="1"/>
      <c r="F21" s="1"/>
      <c r="G21" s="22"/>
      <c r="H21" s="20"/>
      <c r="I21" s="20"/>
      <c r="J21" s="1"/>
      <c r="K21" s="1"/>
      <c r="L21" s="38">
        <f t="shared" si="4"/>
        <v>480.49917198093834</v>
      </c>
      <c r="M21" s="23"/>
      <c r="N21" s="23"/>
      <c r="O21" s="23"/>
      <c r="Q21" s="51">
        <f t="shared" si="5"/>
        <v>35.762318472315656</v>
      </c>
    </row>
    <row r="22" spans="1:28" ht="18" x14ac:dyDescent="0.35">
      <c r="A22" s="61">
        <v>0.2</v>
      </c>
      <c r="B22" s="37">
        <f t="shared" si="3"/>
        <v>200</v>
      </c>
      <c r="C22" s="37"/>
      <c r="D22" s="37"/>
      <c r="E22" s="37"/>
      <c r="F22" s="37"/>
      <c r="G22" s="37"/>
      <c r="H22" s="39"/>
      <c r="I22" s="37"/>
      <c r="J22" s="37"/>
      <c r="K22" s="37"/>
      <c r="L22" s="38">
        <f t="shared" si="4"/>
        <v>260.23062792346485</v>
      </c>
      <c r="M22" s="38"/>
      <c r="N22" s="38"/>
      <c r="O22" s="38"/>
      <c r="P22" s="37"/>
      <c r="Q22" s="51">
        <f t="shared" si="5"/>
        <v>27.851721630688402</v>
      </c>
    </row>
    <row r="23" spans="1:28" ht="22.2" x14ac:dyDescent="0.45">
      <c r="A23" s="44">
        <v>0</v>
      </c>
      <c r="B23" s="6">
        <f t="shared" si="3"/>
        <v>0</v>
      </c>
      <c r="C23">
        <v>1500</v>
      </c>
      <c r="D23">
        <v>1804</v>
      </c>
      <c r="E23" s="1">
        <v>1.2026666666666668</v>
      </c>
      <c r="F23" s="1">
        <v>2.6123883964408377E-2</v>
      </c>
      <c r="G23" s="1">
        <v>1.8280533333333335</v>
      </c>
      <c r="H23" s="20">
        <v>4588413.8666666672</v>
      </c>
      <c r="I23" s="20">
        <v>119867.191433482</v>
      </c>
      <c r="J23" s="1">
        <v>3.9610085E-3</v>
      </c>
      <c r="K23" s="1">
        <v>7.342402E-4</v>
      </c>
      <c r="M23" s="5"/>
      <c r="N23" s="5"/>
      <c r="O23" s="5"/>
      <c r="Q23" s="51"/>
      <c r="AA23" s="1"/>
      <c r="AB23" s="1"/>
    </row>
    <row r="24" spans="1:28" ht="22.2" x14ac:dyDescent="0.45">
      <c r="A24" s="44">
        <v>0</v>
      </c>
      <c r="B24" s="18">
        <v>0</v>
      </c>
      <c r="C24">
        <v>1000</v>
      </c>
      <c r="D24" s="5">
        <v>295</v>
      </c>
      <c r="E24" s="7">
        <v>0.29499999999999998</v>
      </c>
      <c r="F24" s="7">
        <v>6.0067949649726615E-2</v>
      </c>
      <c r="G24" s="22">
        <v>0.29499999999999998</v>
      </c>
      <c r="H24" s="20">
        <v>1944050</v>
      </c>
      <c r="I24" s="20">
        <v>116775.09751655103</v>
      </c>
      <c r="J24" s="1">
        <v>2.7174765000000001E-3</v>
      </c>
      <c r="K24" s="1">
        <v>6.4659050000000001E-4</v>
      </c>
      <c r="L24" s="5"/>
      <c r="M24" s="5"/>
      <c r="N24" s="5"/>
      <c r="O24" s="5"/>
      <c r="Q24" s="51"/>
      <c r="AA24" s="1"/>
      <c r="AB24" s="1"/>
    </row>
    <row r="25" spans="1:28" ht="22.2" x14ac:dyDescent="0.45">
      <c r="A25" s="1"/>
      <c r="B25" s="37"/>
      <c r="D25" s="5"/>
      <c r="E25" s="7"/>
      <c r="G25" s="22"/>
      <c r="H25" s="17"/>
      <c r="I25" s="17"/>
      <c r="J25" s="1"/>
      <c r="K25" s="1"/>
      <c r="L25" s="5"/>
      <c r="M25" s="5"/>
      <c r="N25" s="5"/>
      <c r="O25" s="5"/>
      <c r="Q25" s="51"/>
    </row>
    <row r="26" spans="1:28" ht="18" x14ac:dyDescent="0.35">
      <c r="C26" s="1"/>
      <c r="D26" s="1"/>
      <c r="E26" s="5"/>
      <c r="G26" s="7"/>
      <c r="H26" s="8"/>
      <c r="I26" s="8"/>
      <c r="J26" s="8"/>
      <c r="K26" s="1"/>
      <c r="L26" s="1"/>
      <c r="M26" s="12"/>
      <c r="N26" s="12"/>
      <c r="O26" s="12"/>
    </row>
    <row r="27" spans="1:28" ht="22.2" x14ac:dyDescent="0.45">
      <c r="A27" s="17"/>
      <c r="B27" s="37"/>
      <c r="D27" s="5"/>
      <c r="E27" s="7"/>
      <c r="G27" s="22"/>
      <c r="I27" s="17"/>
      <c r="J27" s="1"/>
      <c r="K27" s="1"/>
      <c r="L27" s="5"/>
      <c r="M27" s="5"/>
      <c r="N27" s="5"/>
      <c r="O27" s="5"/>
    </row>
    <row r="28" spans="1:28" x14ac:dyDescent="0.3">
      <c r="L28" s="5"/>
      <c r="M28" s="5"/>
      <c r="N28" s="5"/>
      <c r="O28" s="5"/>
    </row>
    <row r="29" spans="1:28" x14ac:dyDescent="0.3">
      <c r="L29" s="5"/>
      <c r="M29" s="5"/>
      <c r="N29" s="5"/>
      <c r="O29" s="5"/>
    </row>
    <row r="30" spans="1:28" x14ac:dyDescent="0.3">
      <c r="L30" s="5"/>
      <c r="M30" s="5"/>
      <c r="N30" s="5"/>
      <c r="O30" s="5"/>
    </row>
    <row r="31" spans="1:28" x14ac:dyDescent="0.3">
      <c r="L31" s="5"/>
      <c r="M31" s="5"/>
      <c r="N31" s="5"/>
      <c r="O31" s="5"/>
    </row>
    <row r="32" spans="1:28" x14ac:dyDescent="0.3">
      <c r="L32" s="5"/>
      <c r="M32" s="5"/>
      <c r="N32" s="5"/>
      <c r="O32" s="5"/>
    </row>
    <row r="33" spans="1:15" x14ac:dyDescent="0.3">
      <c r="L33" s="5"/>
      <c r="M33" s="5"/>
      <c r="N33" s="5"/>
      <c r="O33" s="5"/>
    </row>
    <row r="34" spans="1:15" x14ac:dyDescent="0.3">
      <c r="L34" s="5"/>
      <c r="M34" s="5"/>
      <c r="N34" s="5"/>
      <c r="O34" s="5"/>
    </row>
    <row r="35" spans="1:15" x14ac:dyDescent="0.3">
      <c r="L35" s="5"/>
      <c r="M35" s="5"/>
      <c r="N35" s="5"/>
      <c r="O35" s="5"/>
    </row>
    <row r="46" spans="1:15" ht="18" x14ac:dyDescent="0.35">
      <c r="A46" s="1"/>
      <c r="C46" s="1"/>
      <c r="D46" s="1"/>
      <c r="E46" s="5"/>
      <c r="F46" s="7"/>
      <c r="G46" s="7"/>
      <c r="H46" s="8"/>
      <c r="I46" s="8"/>
      <c r="J46" s="8"/>
      <c r="K46" s="1"/>
      <c r="L46" s="1"/>
    </row>
    <row r="47" spans="1:15" ht="18" x14ac:dyDescent="0.35">
      <c r="A47" s="1"/>
      <c r="C47" s="1"/>
      <c r="D47" s="1"/>
      <c r="E47" s="5"/>
      <c r="F47" s="7"/>
      <c r="G47" s="7"/>
      <c r="H47" s="8"/>
      <c r="I47" s="8"/>
      <c r="J47" s="8"/>
      <c r="K47" s="1"/>
      <c r="L47" s="1"/>
      <c r="M47" s="12"/>
      <c r="N47" s="12"/>
      <c r="O47" s="12"/>
    </row>
    <row r="49" spans="1:12" ht="18" x14ac:dyDescent="0.35">
      <c r="A49" s="1"/>
      <c r="C49" s="1"/>
      <c r="D49" s="1"/>
      <c r="E49" s="5"/>
      <c r="F49" s="7"/>
      <c r="G49" s="7"/>
      <c r="H49" s="8"/>
      <c r="I49" s="8"/>
      <c r="J49" s="8"/>
      <c r="K49" s="1"/>
      <c r="L49" s="1"/>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1"/>
  <sheetViews>
    <sheetView workbookViewId="0">
      <selection activeCell="C7" sqref="C7"/>
    </sheetView>
  </sheetViews>
  <sheetFormatPr defaultRowHeight="14.4" x14ac:dyDescent="0.3"/>
  <cols>
    <col min="2" max="2" width="57" bestFit="1" customWidth="1"/>
    <col min="3" max="3" width="12" bestFit="1" customWidth="1"/>
    <col min="5" max="5" width="8.88671875" style="9"/>
    <col min="7" max="7" width="21" bestFit="1" customWidth="1"/>
    <col min="8" max="8" width="11" bestFit="1" customWidth="1"/>
    <col min="13" max="13" width="25.88671875" customWidth="1"/>
    <col min="14" max="14" width="19.33203125" bestFit="1" customWidth="1"/>
    <col min="15" max="15" width="11" bestFit="1" customWidth="1"/>
  </cols>
  <sheetData>
    <row r="1" spans="2:15" x14ac:dyDescent="0.3">
      <c r="B1" t="s">
        <v>18</v>
      </c>
      <c r="C1" t="s">
        <v>19</v>
      </c>
      <c r="E1" s="9" t="s">
        <v>20</v>
      </c>
    </row>
    <row r="2" spans="2:15" x14ac:dyDescent="0.3">
      <c r="B2" t="s">
        <v>21</v>
      </c>
      <c r="C2">
        <v>225.65</v>
      </c>
      <c r="E2" s="9" t="s">
        <v>22</v>
      </c>
      <c r="N2" s="10" t="s">
        <v>23</v>
      </c>
      <c r="O2" s="10">
        <f>6.6267004*10^-34</f>
        <v>6.6267004000000005E-34</v>
      </c>
    </row>
    <row r="3" spans="2:15" x14ac:dyDescent="0.3">
      <c r="B3" t="s">
        <v>24</v>
      </c>
      <c r="C3">
        <f>3.6*10^-46</f>
        <v>3.6E-46</v>
      </c>
      <c r="E3" s="9" t="s">
        <v>25</v>
      </c>
      <c r="N3" s="10" t="s">
        <v>26</v>
      </c>
      <c r="O3" s="10">
        <v>299792458</v>
      </c>
    </row>
    <row r="4" spans="2:15" x14ac:dyDescent="0.3">
      <c r="B4" t="s">
        <v>27</v>
      </c>
      <c r="C4">
        <f>5.3*10^-19</f>
        <v>5.2999999999999997E-19</v>
      </c>
      <c r="E4" s="9" t="s">
        <v>28</v>
      </c>
    </row>
    <row r="5" spans="2:15" x14ac:dyDescent="0.3">
      <c r="B5" t="s">
        <v>29</v>
      </c>
      <c r="C5">
        <v>41</v>
      </c>
      <c r="E5" s="9" t="s">
        <v>30</v>
      </c>
    </row>
    <row r="6" spans="2:15" x14ac:dyDescent="0.3">
      <c r="B6" t="s">
        <v>31</v>
      </c>
      <c r="C6">
        <v>70</v>
      </c>
      <c r="E6" s="9" t="s">
        <v>30</v>
      </c>
    </row>
    <row r="7" spans="2:15" x14ac:dyDescent="0.3">
      <c r="B7" t="s">
        <v>32</v>
      </c>
      <c r="C7" s="12">
        <v>0.42840297900735291</v>
      </c>
      <c r="E7" s="9" t="s">
        <v>130</v>
      </c>
    </row>
    <row r="8" spans="2:15" x14ac:dyDescent="0.3">
      <c r="B8" s="11" t="s">
        <v>33</v>
      </c>
      <c r="C8" s="1">
        <f>0.000000001*'[1]probe laser time profile measur'!I7</f>
        <v>3.3659467562936196E-9</v>
      </c>
      <c r="E8" s="9" t="s">
        <v>131</v>
      </c>
    </row>
    <row r="9" spans="2:15" x14ac:dyDescent="0.3">
      <c r="B9" s="11" t="s">
        <v>34</v>
      </c>
      <c r="C9">
        <f>1/(3.4*10^-8)</f>
        <v>29411764.705882352</v>
      </c>
      <c r="E9" s="9" t="s">
        <v>35</v>
      </c>
      <c r="G9" s="1"/>
    </row>
    <row r="10" spans="2:15" x14ac:dyDescent="0.3">
      <c r="B10" s="11" t="s">
        <v>36</v>
      </c>
      <c r="C10">
        <v>0.25</v>
      </c>
      <c r="E10" s="9" t="s">
        <v>132</v>
      </c>
    </row>
    <row r="11" spans="2:15" x14ac:dyDescent="0.3">
      <c r="B11" s="11" t="s">
        <v>38</v>
      </c>
      <c r="C11">
        <v>0.14000000000000001</v>
      </c>
      <c r="E11" s="9" t="s">
        <v>39</v>
      </c>
    </row>
    <row r="12" spans="2:15" x14ac:dyDescent="0.3">
      <c r="B12" s="11" t="s">
        <v>40</v>
      </c>
      <c r="C12">
        <v>0.57999999999999996</v>
      </c>
      <c r="E12" s="9" t="s">
        <v>39</v>
      </c>
    </row>
    <row r="14" spans="2:15" x14ac:dyDescent="0.3">
      <c r="B14" t="s">
        <v>41</v>
      </c>
      <c r="C14">
        <f>O2*O3/(C2*10^-9)</f>
        <v>8.8040540719946079E-19</v>
      </c>
    </row>
    <row r="15" spans="2:15" x14ac:dyDescent="0.3">
      <c r="B15" t="s">
        <v>42</v>
      </c>
      <c r="C15">
        <f>(C7*10^-3)/C14</f>
        <v>486597396499514.94</v>
      </c>
    </row>
    <row r="16" spans="2:15" x14ac:dyDescent="0.3">
      <c r="B16" t="s">
        <v>43</v>
      </c>
      <c r="C16" s="1">
        <f>C15/(C8*C5*C6*10^-8*PI())</f>
        <v>1.6033589841945933E+27</v>
      </c>
    </row>
    <row r="18" spans="2:5" x14ac:dyDescent="0.3">
      <c r="B18" t="s">
        <v>44</v>
      </c>
      <c r="C18" s="12">
        <f>((C3*C4*C16^3)/(C9+C4*C16-C3*C16^2))*(((1-EXP(-C3*C8*C16^2))/(C3*C16^2))-((1-EXP(-C8*(C9+C4*C16)))/(C9+C4*C16)))</f>
        <v>0.77908232440591552</v>
      </c>
      <c r="E18" s="9" t="s">
        <v>45</v>
      </c>
    </row>
    <row r="19" spans="2:5" x14ac:dyDescent="0.3">
      <c r="B19" t="s">
        <v>46</v>
      </c>
      <c r="C19">
        <v>25</v>
      </c>
      <c r="E19" s="9" t="s">
        <v>37</v>
      </c>
    </row>
    <row r="20" spans="2:5" x14ac:dyDescent="0.3">
      <c r="B20" t="s">
        <v>47</v>
      </c>
      <c r="C20" s="44">
        <f>C18*C19/100</f>
        <v>0.19477058110147888</v>
      </c>
      <c r="E20" s="9" t="s">
        <v>48</v>
      </c>
    </row>
    <row r="21" spans="2:5" x14ac:dyDescent="0.3">
      <c r="B21" t="s">
        <v>49</v>
      </c>
      <c r="C21" s="1">
        <f>PI()*C6*C5*C11*0.00000001</f>
        <v>1.2622919282123792E-5</v>
      </c>
      <c r="E21" s="9" t="s">
        <v>50</v>
      </c>
    </row>
    <row r="22" spans="2:5" x14ac:dyDescent="0.3">
      <c r="B22" t="s">
        <v>51</v>
      </c>
      <c r="C22" s="1">
        <f>PI()*C6*C5*C12*0.00000001</f>
        <v>5.2294951311655696E-5</v>
      </c>
      <c r="E22" s="9" t="s">
        <v>52</v>
      </c>
    </row>
    <row r="23" spans="2:5" x14ac:dyDescent="0.3">
      <c r="B23" t="s">
        <v>53</v>
      </c>
      <c r="C23" s="1">
        <v>0.15</v>
      </c>
      <c r="E23" s="9" t="s">
        <v>134</v>
      </c>
    </row>
    <row r="24" spans="2:5" x14ac:dyDescent="0.3">
      <c r="B24" t="s">
        <v>133</v>
      </c>
      <c r="C24" s="1">
        <f>0.4*3.14*0.03415*0.0995</f>
        <v>4.2677938000000009E-3</v>
      </c>
      <c r="E24" s="9" t="s">
        <v>135</v>
      </c>
    </row>
    <row r="26" spans="2:5" x14ac:dyDescent="0.3">
      <c r="B26" t="s">
        <v>54</v>
      </c>
      <c r="C26" s="5">
        <f>1/C20</f>
        <v>5.134245604981702</v>
      </c>
      <c r="E26" s="9" t="s">
        <v>55</v>
      </c>
    </row>
    <row r="27" spans="2:5" x14ac:dyDescent="0.3">
      <c r="B27" t="s">
        <v>56</v>
      </c>
      <c r="C27" s="1">
        <f>C26*(C23/(C21))</f>
        <v>61010.993062270507</v>
      </c>
      <c r="E27" s="9" t="s">
        <v>57</v>
      </c>
    </row>
    <row r="28" spans="2:5" x14ac:dyDescent="0.3">
      <c r="B28" t="s">
        <v>136</v>
      </c>
      <c r="C28" s="13">
        <f>C26/C21</f>
        <v>406739.95374847006</v>
      </c>
      <c r="E28" s="9" t="s">
        <v>140</v>
      </c>
    </row>
    <row r="30" spans="2:5" x14ac:dyDescent="0.3">
      <c r="C30" s="5"/>
    </row>
    <row r="31" spans="2:5" x14ac:dyDescent="0.3">
      <c r="C31" s="1"/>
    </row>
    <row r="32" spans="2:5" x14ac:dyDescent="0.3">
      <c r="C32" s="47"/>
    </row>
    <row r="33" spans="3:3" x14ac:dyDescent="0.3">
      <c r="C33" s="14"/>
    </row>
    <row r="35" spans="3:3" x14ac:dyDescent="0.3">
      <c r="C35" s="1"/>
    </row>
    <row r="36" spans="3:3" x14ac:dyDescent="0.3">
      <c r="C36" s="15"/>
    </row>
    <row r="37" spans="3:3" x14ac:dyDescent="0.3">
      <c r="C37" s="12"/>
    </row>
    <row r="39" spans="3:3" x14ac:dyDescent="0.3">
      <c r="C39" s="1"/>
    </row>
    <row r="40" spans="3:3" x14ac:dyDescent="0.3">
      <c r="C40" s="15"/>
    </row>
    <row r="41" spans="3:3" x14ac:dyDescent="0.3">
      <c r="C41" s="1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opLeftCell="B8" zoomScaleNormal="100" zoomScalePageLayoutView="150" workbookViewId="0">
      <selection activeCell="C32" sqref="C32"/>
    </sheetView>
  </sheetViews>
  <sheetFormatPr defaultColWidth="8.77734375" defaultRowHeight="14.4" x14ac:dyDescent="0.3"/>
  <cols>
    <col min="1" max="1" width="10.109375" bestFit="1" customWidth="1"/>
    <col min="2" max="2" width="89.5546875" bestFit="1" customWidth="1"/>
    <col min="3" max="3" width="12.6640625" bestFit="1" customWidth="1"/>
    <col min="4" max="4" width="99.109375" bestFit="1" customWidth="1"/>
    <col min="5" max="5" width="8.77734375" style="26"/>
  </cols>
  <sheetData>
    <row r="1" spans="1:5" s="24" customFormat="1" ht="28.8" customHeight="1" x14ac:dyDescent="0.45">
      <c r="A1" s="24" t="s">
        <v>73</v>
      </c>
      <c r="B1" s="24" t="s">
        <v>74</v>
      </c>
      <c r="C1" s="24" t="s">
        <v>75</v>
      </c>
      <c r="D1" s="24" t="s">
        <v>76</v>
      </c>
      <c r="E1" s="25"/>
    </row>
    <row r="2" spans="1:5" s="26" customFormat="1" x14ac:dyDescent="0.3"/>
    <row r="3" spans="1:5" s="28" customFormat="1" x14ac:dyDescent="0.3">
      <c r="A3" s="27" t="s">
        <v>77</v>
      </c>
      <c r="B3" s="28" t="s">
        <v>78</v>
      </c>
      <c r="C3" s="28">
        <v>1.6773</v>
      </c>
      <c r="D3" s="28" t="s">
        <v>79</v>
      </c>
      <c r="E3" s="26"/>
    </row>
    <row r="4" spans="1:5" s="28" customFormat="1" x14ac:dyDescent="0.3">
      <c r="A4" s="27" t="s">
        <v>77</v>
      </c>
      <c r="B4" s="28" t="s">
        <v>80</v>
      </c>
      <c r="C4" s="28">
        <v>1.331</v>
      </c>
      <c r="D4" s="28" t="s">
        <v>81</v>
      </c>
      <c r="E4" s="26"/>
    </row>
    <row r="5" spans="1:5" s="28" customFormat="1" x14ac:dyDescent="0.3">
      <c r="A5" s="27" t="s">
        <v>77</v>
      </c>
      <c r="B5" s="28" t="s">
        <v>82</v>
      </c>
      <c r="C5" s="28">
        <v>0.93300000000000005</v>
      </c>
      <c r="E5" s="26"/>
    </row>
    <row r="6" spans="1:5" s="28" customFormat="1" x14ac:dyDescent="0.3">
      <c r="A6" s="27" t="s">
        <v>77</v>
      </c>
      <c r="B6" s="28" t="s">
        <v>83</v>
      </c>
      <c r="C6" s="28">
        <v>6.6000000000000003E-2</v>
      </c>
      <c r="E6" s="26"/>
    </row>
    <row r="7" spans="1:5" x14ac:dyDescent="0.3">
      <c r="A7" s="29" t="s">
        <v>84</v>
      </c>
      <c r="B7" t="s">
        <v>85</v>
      </c>
      <c r="C7">
        <f>(C5/(C5+C6))*C3+C4*(C6/(C5+C6))</f>
        <v>1.6544213213213212</v>
      </c>
      <c r="D7" t="s">
        <v>86</v>
      </c>
    </row>
    <row r="10" spans="1:5" x14ac:dyDescent="0.3">
      <c r="A10" s="29" t="s">
        <v>77</v>
      </c>
      <c r="B10" t="s">
        <v>87</v>
      </c>
      <c r="C10">
        <v>310</v>
      </c>
      <c r="D10" t="s">
        <v>88</v>
      </c>
    </row>
    <row r="11" spans="1:5" x14ac:dyDescent="0.3">
      <c r="A11" s="29" t="s">
        <v>77</v>
      </c>
      <c r="B11" t="s">
        <v>89</v>
      </c>
      <c r="C11" s="1">
        <v>26000</v>
      </c>
      <c r="D11" t="s">
        <v>90</v>
      </c>
    </row>
    <row r="12" spans="1:5" x14ac:dyDescent="0.3">
      <c r="A12" s="29" t="s">
        <v>84</v>
      </c>
      <c r="B12" t="s">
        <v>142</v>
      </c>
      <c r="C12" s="14">
        <f>C11/(1.381E-23*C10*100^3)</f>
        <v>6.0732054845717217E+18</v>
      </c>
      <c r="D12" t="s">
        <v>91</v>
      </c>
    </row>
    <row r="13" spans="1:5" x14ac:dyDescent="0.3">
      <c r="A13" s="29"/>
      <c r="C13" s="1"/>
    </row>
    <row r="14" spans="1:5" x14ac:dyDescent="0.3">
      <c r="A14" s="29" t="s">
        <v>77</v>
      </c>
      <c r="B14" t="s">
        <v>92</v>
      </c>
      <c r="C14">
        <v>0.4</v>
      </c>
      <c r="D14" s="28" t="s">
        <v>93</v>
      </c>
    </row>
    <row r="15" spans="1:5" x14ac:dyDescent="0.3">
      <c r="A15" s="29" t="s">
        <v>77</v>
      </c>
      <c r="B15" t="s">
        <v>94</v>
      </c>
      <c r="C15">
        <v>117</v>
      </c>
      <c r="D15" t="s">
        <v>95</v>
      </c>
    </row>
    <row r="16" spans="1:5" x14ac:dyDescent="0.3">
      <c r="A16" s="29" t="s">
        <v>77</v>
      </c>
      <c r="B16" t="s">
        <v>96</v>
      </c>
      <c r="C16">
        <v>0</v>
      </c>
      <c r="D16" s="28" t="s">
        <v>97</v>
      </c>
    </row>
    <row r="17" spans="1:4" x14ac:dyDescent="0.3">
      <c r="A17" s="29"/>
    </row>
    <row r="18" spans="1:4" x14ac:dyDescent="0.3">
      <c r="A18" s="29" t="s">
        <v>84</v>
      </c>
      <c r="B18" t="s">
        <v>98</v>
      </c>
      <c r="C18">
        <f>C20*((C23)^(C7-1))-(C24/(C20*((C23)^(C7-1))))</f>
        <v>134.51870869270971</v>
      </c>
      <c r="D18" s="30" t="s">
        <v>99</v>
      </c>
    </row>
    <row r="19" spans="1:4" x14ac:dyDescent="0.3">
      <c r="A19" s="29" t="s">
        <v>84</v>
      </c>
      <c r="B19" t="s">
        <v>100</v>
      </c>
      <c r="C19">
        <f>C18*C18</f>
        <v>18095.282988354094</v>
      </c>
      <c r="D19" s="9">
        <f>(((C20)^4)*0.0249-((C20)^3)*0.5239+((C20)^2)*4.1361-((C20)^1)*14.601+20.649)-C7</f>
        <v>2.039911450823606E-3</v>
      </c>
    </row>
    <row r="20" spans="1:4" x14ac:dyDescent="0.3">
      <c r="A20" s="29" t="s">
        <v>77</v>
      </c>
      <c r="B20" t="s">
        <v>101</v>
      </c>
      <c r="C20">
        <v>3.2730000000000001</v>
      </c>
      <c r="D20" s="28" t="s">
        <v>102</v>
      </c>
    </row>
    <row r="21" spans="1:4" x14ac:dyDescent="0.3">
      <c r="A21" s="29"/>
      <c r="D21" s="28"/>
    </row>
    <row r="22" spans="1:4" hidden="1" x14ac:dyDescent="0.3">
      <c r="A22" s="29" t="s">
        <v>84</v>
      </c>
      <c r="B22" s="31" t="s">
        <v>103</v>
      </c>
      <c r="C22">
        <f>-1/(C7-1)</f>
        <v>-1.5280675727082544</v>
      </c>
      <c r="D22" t="s">
        <v>104</v>
      </c>
    </row>
    <row r="23" spans="1:4" hidden="1" x14ac:dyDescent="0.3">
      <c r="A23" s="29" t="s">
        <v>84</v>
      </c>
      <c r="B23" t="s">
        <v>105</v>
      </c>
      <c r="C23">
        <f>(C15-C16)/C14</f>
        <v>292.5</v>
      </c>
      <c r="D23" t="s">
        <v>104</v>
      </c>
    </row>
    <row r="24" spans="1:4" hidden="1" x14ac:dyDescent="0.3">
      <c r="A24" s="29" t="s">
        <v>84</v>
      </c>
      <c r="B24" t="s">
        <v>106</v>
      </c>
      <c r="C24">
        <f>0.5*((C7+1)/(C7-1))</f>
        <v>2.0280675727082547</v>
      </c>
      <c r="D24" t="s">
        <v>104</v>
      </c>
    </row>
    <row r="25" spans="1:4" hidden="1" x14ac:dyDescent="0.3">
      <c r="A25" s="29"/>
    </row>
    <row r="26" spans="1:4" x14ac:dyDescent="0.3">
      <c r="A26" s="29" t="s">
        <v>84</v>
      </c>
      <c r="B26" t="s">
        <v>107</v>
      </c>
      <c r="C26">
        <f>(1+((C7-1)/2)*C19)^C22</f>
        <v>1.7195578138328108E-6</v>
      </c>
    </row>
    <row r="27" spans="1:4" s="26" customFormat="1" x14ac:dyDescent="0.3">
      <c r="A27" s="29" t="s">
        <v>84</v>
      </c>
      <c r="B27" s="32" t="s">
        <v>141</v>
      </c>
      <c r="C27" s="33">
        <f>C26*C12</f>
        <v>10443227946007.586</v>
      </c>
      <c r="D27"/>
    </row>
    <row r="28" spans="1:4" s="26" customFormat="1" x14ac:dyDescent="0.3">
      <c r="A28" s="29"/>
      <c r="B28" s="28" t="s">
        <v>108</v>
      </c>
      <c r="C28" s="34">
        <v>391</v>
      </c>
      <c r="D28"/>
    </row>
    <row r="29" spans="1:4" s="26" customFormat="1" x14ac:dyDescent="0.3">
      <c r="A29" s="29"/>
      <c r="B29" s="28" t="s">
        <v>109</v>
      </c>
      <c r="C29" s="34">
        <v>1</v>
      </c>
      <c r="D29"/>
    </row>
    <row r="30" spans="1:4" s="26" customFormat="1" x14ac:dyDescent="0.3">
      <c r="A30" s="29" t="s">
        <v>84</v>
      </c>
      <c r="B30" s="28" t="s">
        <v>110</v>
      </c>
      <c r="C30" s="14">
        <f>C27*(0.4*3.14*0.03415*0.0995)</f>
        <v>44569543479.957916</v>
      </c>
      <c r="D30" t="s">
        <v>111</v>
      </c>
    </row>
    <row r="31" spans="1:4" s="26" customFormat="1" x14ac:dyDescent="0.3">
      <c r="A31" s="29"/>
      <c r="B31"/>
      <c r="C31"/>
      <c r="D31"/>
    </row>
    <row r="32" spans="1:4" s="26" customFormat="1" x14ac:dyDescent="0.3">
      <c r="A32" s="29" t="s">
        <v>77</v>
      </c>
      <c r="B32" t="s">
        <v>112</v>
      </c>
      <c r="C32" s="1">
        <f>((C29/1000)/((6.626E-34*299800000)/(C28*0.000000001)))/(3.14*0.03415*0.0995)</f>
        <v>1.8448041227179456E+17</v>
      </c>
      <c r="D32"/>
    </row>
    <row r="33" spans="1:5" s="26" customFormat="1" x14ac:dyDescent="0.3">
      <c r="A33" s="29" t="s">
        <v>77</v>
      </c>
      <c r="B33" t="s">
        <v>113</v>
      </c>
      <c r="C33" s="1">
        <v>6.1999999999999998E-19</v>
      </c>
      <c r="D33"/>
    </row>
    <row r="34" spans="1:5" s="26" customFormat="1" x14ac:dyDescent="0.3">
      <c r="A34" s="29" t="s">
        <v>84</v>
      </c>
      <c r="B34" t="s">
        <v>114</v>
      </c>
      <c r="C34" s="12">
        <f>C33*C32</f>
        <v>0.11437785560851262</v>
      </c>
      <c r="D34" s="28"/>
    </row>
    <row r="35" spans="1:5" x14ac:dyDescent="0.3">
      <c r="A35" s="29" t="s">
        <v>84</v>
      </c>
      <c r="B35" t="s">
        <v>115</v>
      </c>
      <c r="C35" s="1">
        <f>C34*C30</f>
        <v>5097768808.6879511</v>
      </c>
      <c r="D35" s="14"/>
    </row>
    <row r="36" spans="1:5" x14ac:dyDescent="0.3">
      <c r="A36" s="29"/>
    </row>
    <row r="37" spans="1:5" x14ac:dyDescent="0.3">
      <c r="A37" s="29" t="s">
        <v>84</v>
      </c>
      <c r="B37" t="s">
        <v>116</v>
      </c>
      <c r="C37" s="1">
        <f>C35*0.54</f>
        <v>2752795156.691494</v>
      </c>
      <c r="D37" t="s">
        <v>117</v>
      </c>
    </row>
    <row r="38" spans="1:5" x14ac:dyDescent="0.3">
      <c r="A38" s="29" t="s">
        <v>84</v>
      </c>
      <c r="B38" t="s">
        <v>118</v>
      </c>
      <c r="C38" s="1">
        <f>C37*(0.5345/100)</f>
        <v>14713690.112516034</v>
      </c>
      <c r="D38" t="s">
        <v>119</v>
      </c>
    </row>
    <row r="39" spans="1:5" x14ac:dyDescent="0.3">
      <c r="A39" s="29" t="s">
        <v>84</v>
      </c>
      <c r="B39" t="s">
        <v>120</v>
      </c>
      <c r="C39" s="5">
        <f>C38*0.00001651693250406</f>
        <v>243.02502647408235</v>
      </c>
      <c r="D39" t="s">
        <v>121</v>
      </c>
    </row>
    <row r="40" spans="1:5" x14ac:dyDescent="0.3">
      <c r="A40" s="29" t="s">
        <v>84</v>
      </c>
      <c r="B40" t="s">
        <v>122</v>
      </c>
      <c r="C40" s="1">
        <f>C37*0.00001651693250406</f>
        <v>45467.731800576679</v>
      </c>
      <c r="D40" t="s">
        <v>123</v>
      </c>
    </row>
    <row r="41" spans="1:5" x14ac:dyDescent="0.3">
      <c r="A41" s="29" t="s">
        <v>84</v>
      </c>
      <c r="B41" t="s">
        <v>137</v>
      </c>
      <c r="C41" s="13">
        <f>C40/0.15</f>
        <v>303118.21200384456</v>
      </c>
      <c r="D41" s="1"/>
    </row>
    <row r="42" spans="1:5" x14ac:dyDescent="0.3">
      <c r="A42" s="29"/>
      <c r="B42" t="s">
        <v>124</v>
      </c>
      <c r="C42" s="1">
        <f>(C41*5*1.381E-23)*10000</f>
        <v>2.0930312538865464E-13</v>
      </c>
      <c r="E42" s="35"/>
    </row>
    <row r="43" spans="1:5" s="26" customFormat="1" x14ac:dyDescent="0.3">
      <c r="A43" s="36"/>
    </row>
    <row r="44" spans="1:5" x14ac:dyDescent="0.3">
      <c r="A44" s="29"/>
    </row>
    <row r="45" spans="1:5" x14ac:dyDescent="0.3">
      <c r="A45" s="29"/>
    </row>
    <row r="46" spans="1:5" x14ac:dyDescent="0.3">
      <c r="A46" s="29"/>
    </row>
    <row r="47" spans="1:5" x14ac:dyDescent="0.3">
      <c r="A47" s="29"/>
    </row>
    <row r="48" spans="1:5" x14ac:dyDescent="0.3">
      <c r="A48" s="29"/>
    </row>
    <row r="49" spans="1:1" x14ac:dyDescent="0.3">
      <c r="A49" s="29"/>
    </row>
    <row r="50" spans="1:1" x14ac:dyDescent="0.3">
      <c r="A50" s="29"/>
    </row>
    <row r="51" spans="1:1" x14ac:dyDescent="0.3">
      <c r="A51" s="29"/>
    </row>
    <row r="52" spans="1:1" x14ac:dyDescent="0.3">
      <c r="A52" s="29"/>
    </row>
    <row r="53" spans="1:1" x14ac:dyDescent="0.3">
      <c r="A53" s="29"/>
    </row>
    <row r="54" spans="1:1" x14ac:dyDescent="0.3">
      <c r="A54" s="29"/>
    </row>
    <row r="55" spans="1:1" x14ac:dyDescent="0.3">
      <c r="A55" s="29"/>
    </row>
    <row r="56" spans="1:1" x14ac:dyDescent="0.3">
      <c r="A56" s="29"/>
    </row>
    <row r="57" spans="1:1" x14ac:dyDescent="0.3">
      <c r="A57" s="29"/>
    </row>
    <row r="58" spans="1:1" x14ac:dyDescent="0.3">
      <c r="A58" s="29"/>
    </row>
    <row r="59" spans="1:1" x14ac:dyDescent="0.3">
      <c r="A59" s="29"/>
    </row>
    <row r="60" spans="1:1" x14ac:dyDescent="0.3">
      <c r="A60" s="29"/>
    </row>
    <row r="61" spans="1:1" x14ac:dyDescent="0.3">
      <c r="A61" s="29"/>
    </row>
    <row r="62" spans="1:1" x14ac:dyDescent="0.3">
      <c r="A62" s="29"/>
    </row>
    <row r="63" spans="1:1" x14ac:dyDescent="0.3">
      <c r="A63" s="29"/>
    </row>
    <row r="64" spans="1:1" x14ac:dyDescent="0.3">
      <c r="A64" s="29"/>
    </row>
    <row r="65" spans="1:1" x14ac:dyDescent="0.3">
      <c r="A65" s="29"/>
    </row>
    <row r="66" spans="1:1" x14ac:dyDescent="0.3">
      <c r="A66" s="29"/>
    </row>
    <row r="67" spans="1:1" x14ac:dyDescent="0.3">
      <c r="A67" s="29"/>
    </row>
    <row r="68" spans="1:1" x14ac:dyDescent="0.3">
      <c r="A68" s="29"/>
    </row>
    <row r="69" spans="1:1" x14ac:dyDescent="0.3">
      <c r="A69" s="29"/>
    </row>
    <row r="70" spans="1:1" x14ac:dyDescent="0.3">
      <c r="A70" s="29"/>
    </row>
    <row r="71" spans="1:1" x14ac:dyDescent="0.3">
      <c r="A71" s="29"/>
    </row>
    <row r="72" spans="1:1" x14ac:dyDescent="0.3">
      <c r="A72" s="29"/>
    </row>
    <row r="73" spans="1:1" x14ac:dyDescent="0.3">
      <c r="A73" s="29"/>
    </row>
    <row r="74" spans="1:1" x14ac:dyDescent="0.3">
      <c r="A74" s="29"/>
    </row>
    <row r="75" spans="1:1" x14ac:dyDescent="0.3">
      <c r="A75" s="29"/>
    </row>
    <row r="76" spans="1:1" x14ac:dyDescent="0.3">
      <c r="A76" s="29"/>
    </row>
    <row r="77" spans="1:1" x14ac:dyDescent="0.3">
      <c r="A77" s="29"/>
    </row>
    <row r="78" spans="1:1" x14ac:dyDescent="0.3">
      <c r="A78" s="29"/>
    </row>
    <row r="79" spans="1:1" x14ac:dyDescent="0.3">
      <c r="A79" s="29"/>
    </row>
    <row r="80" spans="1:1" x14ac:dyDescent="0.3">
      <c r="A80" s="29"/>
    </row>
    <row r="81" spans="1:1" x14ac:dyDescent="0.3">
      <c r="A81" s="29"/>
    </row>
    <row r="82" spans="1:1" x14ac:dyDescent="0.3">
      <c r="A82" s="29"/>
    </row>
    <row r="83" spans="1:1" x14ac:dyDescent="0.3">
      <c r="A83" s="29"/>
    </row>
    <row r="84" spans="1:1" x14ac:dyDescent="0.3">
      <c r="A84" s="29"/>
    </row>
    <row r="85" spans="1:1" x14ac:dyDescent="0.3">
      <c r="A85" s="29"/>
    </row>
    <row r="86" spans="1:1" x14ac:dyDescent="0.3">
      <c r="A86" s="29"/>
    </row>
    <row r="87" spans="1:1" x14ac:dyDescent="0.3">
      <c r="A87" s="29"/>
    </row>
    <row r="88" spans="1:1" x14ac:dyDescent="0.3">
      <c r="A88" s="29"/>
    </row>
    <row r="89" spans="1:1" x14ac:dyDescent="0.3">
      <c r="A89" s="29"/>
    </row>
    <row r="90" spans="1:1" x14ac:dyDescent="0.3">
      <c r="A90" s="29"/>
    </row>
    <row r="91" spans="1:1" x14ac:dyDescent="0.3">
      <c r="A91" s="29"/>
    </row>
  </sheetData>
  <pageMargins left="0.7" right="0.7" top="0.75" bottom="0.75" header="0.3" footer="0.3"/>
  <pageSetup paperSize="9"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C55"/>
  <sheetViews>
    <sheetView topLeftCell="M1" workbookViewId="0">
      <selection activeCell="X2" sqref="X2"/>
    </sheetView>
  </sheetViews>
  <sheetFormatPr defaultRowHeight="14.4" x14ac:dyDescent="0.3"/>
  <cols>
    <col min="1" max="1" width="12.21875" customWidth="1"/>
    <col min="2" max="2" width="11.77734375" bestFit="1" customWidth="1"/>
    <col min="3" max="3" width="16.5546875" bestFit="1" customWidth="1"/>
    <col min="4" max="4" width="11.77734375" bestFit="1" customWidth="1"/>
    <col min="5" max="5" width="16.5546875" bestFit="1" customWidth="1"/>
    <col min="6" max="6" width="12.21875" bestFit="1" customWidth="1"/>
    <col min="7" max="7" width="16.5546875" bestFit="1" customWidth="1"/>
    <col min="8" max="8" width="11.109375" bestFit="1" customWidth="1"/>
    <col min="9" max="9" width="16.5546875" bestFit="1" customWidth="1"/>
    <col min="10" max="10" width="19.5546875" bestFit="1" customWidth="1"/>
    <col min="13" max="13" width="12.6640625" style="9" bestFit="1" customWidth="1"/>
    <col min="14" max="14" width="13.21875" style="9" bestFit="1" customWidth="1"/>
    <col min="16" max="16" width="11.33203125" customWidth="1"/>
    <col min="17" max="17" width="11.77734375" bestFit="1" customWidth="1"/>
    <col min="18" max="18" width="16.5546875" bestFit="1" customWidth="1"/>
    <col min="19" max="19" width="11.77734375" bestFit="1" customWidth="1"/>
    <col min="20" max="20" width="16.5546875" bestFit="1" customWidth="1"/>
    <col min="21" max="21" width="12.21875" bestFit="1" customWidth="1"/>
    <col min="22" max="22" width="16.5546875" bestFit="1" customWidth="1"/>
    <col min="23" max="23" width="11.109375" bestFit="1" customWidth="1"/>
    <col min="24" max="24" width="16.5546875" bestFit="1" customWidth="1"/>
    <col min="25" max="25" width="19.5546875" bestFit="1" customWidth="1"/>
    <col min="26" max="26" width="15.109375" bestFit="1" customWidth="1"/>
    <col min="27" max="27" width="26.6640625" bestFit="1" customWidth="1"/>
    <col min="28" max="28" width="12.6640625" style="9" bestFit="1" customWidth="1"/>
    <col min="29" max="29" width="13.21875" style="9" bestFit="1" customWidth="1"/>
  </cols>
  <sheetData>
    <row r="5" spans="1:29" x14ac:dyDescent="0.3">
      <c r="A5" t="s">
        <v>153</v>
      </c>
      <c r="P5" t="s">
        <v>153</v>
      </c>
    </row>
    <row r="6" spans="1:29" x14ac:dyDescent="0.3">
      <c r="A6" t="s">
        <v>154</v>
      </c>
      <c r="P6" t="s">
        <v>154</v>
      </c>
    </row>
    <row r="7" spans="1:29" x14ac:dyDescent="0.3">
      <c r="A7" t="s">
        <v>155</v>
      </c>
      <c r="B7" s="54">
        <v>0.39513888888888887</v>
      </c>
      <c r="P7" t="s">
        <v>155</v>
      </c>
      <c r="Q7" s="54">
        <v>0.40833333333333338</v>
      </c>
    </row>
    <row r="8" spans="1:29" x14ac:dyDescent="0.3">
      <c r="A8" t="s">
        <v>156</v>
      </c>
      <c r="P8" t="s">
        <v>156</v>
      </c>
    </row>
    <row r="9" spans="1:29" x14ac:dyDescent="0.3">
      <c r="A9" t="s">
        <v>157</v>
      </c>
      <c r="P9" t="s">
        <v>157</v>
      </c>
    </row>
    <row r="10" spans="1:29" x14ac:dyDescent="0.3">
      <c r="A10" t="s">
        <v>158</v>
      </c>
      <c r="B10" t="s">
        <v>159</v>
      </c>
      <c r="C10" t="s">
        <v>4</v>
      </c>
      <c r="D10" t="s">
        <v>159</v>
      </c>
      <c r="E10" t="s">
        <v>4</v>
      </c>
      <c r="F10" t="s">
        <v>160</v>
      </c>
      <c r="G10" t="s">
        <v>4</v>
      </c>
      <c r="H10" t="s">
        <v>161</v>
      </c>
      <c r="I10" t="s">
        <v>4</v>
      </c>
      <c r="J10" t="s">
        <v>162</v>
      </c>
      <c r="K10" t="s">
        <v>163</v>
      </c>
      <c r="L10" t="s">
        <v>164</v>
      </c>
      <c r="M10" s="9" t="s">
        <v>165</v>
      </c>
      <c r="N10" s="9" t="s">
        <v>167</v>
      </c>
      <c r="P10" t="s">
        <v>158</v>
      </c>
      <c r="Q10" t="s">
        <v>159</v>
      </c>
      <c r="R10" t="s">
        <v>4</v>
      </c>
      <c r="S10" t="s">
        <v>159</v>
      </c>
      <c r="T10" t="s">
        <v>4</v>
      </c>
      <c r="U10" t="s">
        <v>160</v>
      </c>
      <c r="V10" t="s">
        <v>4</v>
      </c>
      <c r="W10" t="s">
        <v>161</v>
      </c>
      <c r="X10" t="s">
        <v>4</v>
      </c>
      <c r="Y10" t="s">
        <v>168</v>
      </c>
      <c r="Z10" t="s">
        <v>163</v>
      </c>
      <c r="AA10" t="s">
        <v>166</v>
      </c>
      <c r="AB10" s="9" t="s">
        <v>165</v>
      </c>
      <c r="AC10" s="9" t="s">
        <v>167</v>
      </c>
    </row>
    <row r="11" spans="1:29" x14ac:dyDescent="0.3">
      <c r="A11">
        <v>-300</v>
      </c>
      <c r="B11" s="1">
        <v>1.7061691849999999E-3</v>
      </c>
      <c r="C11" s="1">
        <v>1.4433584099999999E-4</v>
      </c>
      <c r="D11" s="1">
        <v>9.5630930900000004E-3</v>
      </c>
      <c r="E11" s="1">
        <v>1.455894017E-3</v>
      </c>
      <c r="F11" s="1">
        <v>1.2</v>
      </c>
      <c r="G11" s="1">
        <v>1.0347497619999999</v>
      </c>
      <c r="H11" s="1">
        <v>6.6565340159999999E-12</v>
      </c>
      <c r="I11" s="1">
        <v>6.5826790179999996E-12</v>
      </c>
      <c r="J11" s="1">
        <f>H11/D11^1.99</f>
        <v>6.9479610125215953E-8</v>
      </c>
      <c r="K11" s="1">
        <f>J11/MAX($J$11:$J$1200)</f>
        <v>0.17852103390315016</v>
      </c>
      <c r="L11" s="1">
        <f>(J11/MAX($J$11:$J$1200))-MIN($K$11:$K$1200)</f>
        <v>4.5409213189403219E-3</v>
      </c>
      <c r="M11" s="9">
        <f>LN(L11)</f>
        <v>-5.3946253538298405</v>
      </c>
      <c r="N11" s="9">
        <f>LN(B11)</f>
        <v>-6.3735046642552833</v>
      </c>
      <c r="P11">
        <v>-310</v>
      </c>
      <c r="Q11" s="1">
        <v>9.553140202E-3</v>
      </c>
      <c r="R11" s="1">
        <v>5.1804039850000003E-4</v>
      </c>
      <c r="S11" s="1">
        <v>1.3499792190000001E-3</v>
      </c>
      <c r="T11" s="1">
        <v>1.5564052729999999E-4</v>
      </c>
      <c r="U11" s="1">
        <v>0</v>
      </c>
      <c r="V11" s="1">
        <v>0</v>
      </c>
      <c r="W11" s="1">
        <v>-1.9817109249999999E-13</v>
      </c>
      <c r="X11" s="1">
        <v>2.9484014790000002E-12</v>
      </c>
      <c r="Y11" s="1">
        <f>W11/Q11^1.55</f>
        <v>-2.678019708301419E-10</v>
      </c>
      <c r="Z11" s="1">
        <f>Y11/MAX($Y$11:$Y$1200)</f>
        <v>-1.9281360270512271E-3</v>
      </c>
      <c r="AA11" s="1">
        <f>(Y11/MAX($Y$12:$Y$1201))-MIN($Z$11:$Z$1200)</f>
        <v>2.0298292534733581E-3</v>
      </c>
      <c r="AB11" s="9">
        <f>LN(AA11)</f>
        <v>-6.199803601055498</v>
      </c>
      <c r="AC11" s="9">
        <f>LN(S11)</f>
        <v>-6.6076660799836109</v>
      </c>
    </row>
    <row r="12" spans="1:29" x14ac:dyDescent="0.3">
      <c r="A12">
        <v>-297</v>
      </c>
      <c r="B12" s="1">
        <v>1.708945891E-3</v>
      </c>
      <c r="C12" s="1">
        <v>1.5992408260000001E-4</v>
      </c>
      <c r="D12" s="1">
        <v>9.5088811170000002E-3</v>
      </c>
      <c r="E12" s="1">
        <v>1.283132372E-3</v>
      </c>
      <c r="F12" s="1">
        <v>1.3</v>
      </c>
      <c r="G12" s="1">
        <v>1.2102257910000001</v>
      </c>
      <c r="H12" s="1">
        <v>7.4632413680000006E-12</v>
      </c>
      <c r="I12" s="1">
        <v>7.9414978419999995E-12</v>
      </c>
      <c r="J12" s="1">
        <f t="shared" ref="J12:J51" si="0">H12/D12^1.99</f>
        <v>7.8786162235031334E-8</v>
      </c>
      <c r="K12" s="1">
        <f t="shared" ref="K12:K50" si="1">J12/MAX($J$11:$J$1200)</f>
        <v>0.20243330545625166</v>
      </c>
      <c r="L12" s="1">
        <f t="shared" ref="L12:L51" si="2">(J12/MAX($J$11:$J$1200))-MIN($K$11:$K$1200)</f>
        <v>2.8453192872041816E-2</v>
      </c>
      <c r="M12" s="9">
        <f t="shared" ref="M12:M51" si="3">LN(L12)</f>
        <v>-3.5594948972185416</v>
      </c>
      <c r="N12" s="9">
        <f t="shared" ref="N12:N51" si="4">LN(B12)</f>
        <v>-6.3718785365552932</v>
      </c>
      <c r="P12">
        <v>-307</v>
      </c>
      <c r="Q12" s="1">
        <v>9.6364413809999997E-3</v>
      </c>
      <c r="R12" s="1">
        <v>4.5428357659999999E-4</v>
      </c>
      <c r="S12" s="1">
        <v>1.3499792190000001E-3</v>
      </c>
      <c r="T12" s="1">
        <v>1.5079675600000001E-4</v>
      </c>
      <c r="U12" s="1">
        <v>0</v>
      </c>
      <c r="V12" s="1">
        <v>0</v>
      </c>
      <c r="W12" s="1">
        <v>-4.1230532099999999E-13</v>
      </c>
      <c r="X12" s="1">
        <v>3.0486613049999998E-12</v>
      </c>
      <c r="Y12" s="1">
        <f t="shared" ref="Y12:Y55" si="5">W12/Q12^1.55</f>
        <v>-5.4972828043817185E-10</v>
      </c>
      <c r="Z12" s="1">
        <f t="shared" ref="Z12:Z55" si="6">Y12/MAX($Y$11:$Y$1200)</f>
        <v>-3.9579652805245853E-3</v>
      </c>
      <c r="AA12" s="1">
        <v>1E-3</v>
      </c>
      <c r="AB12" s="9">
        <f t="shared" ref="AB12:AB55" si="7">LN(AA12)</f>
        <v>-6.9077552789821368</v>
      </c>
      <c r="AC12" s="9">
        <f t="shared" ref="AC12:AC55" si="8">LN(S12)</f>
        <v>-6.6076660799836109</v>
      </c>
    </row>
    <row r="13" spans="1:29" x14ac:dyDescent="0.3">
      <c r="A13">
        <v>-294</v>
      </c>
      <c r="B13" s="1">
        <v>1.7256061259999999E-3</v>
      </c>
      <c r="C13" s="1">
        <v>1.7860444690000001E-4</v>
      </c>
      <c r="D13" s="1">
        <v>9.5929096750000005E-3</v>
      </c>
      <c r="E13" s="1">
        <v>1.2032787190000001E-3</v>
      </c>
      <c r="F13" s="1">
        <v>1.17</v>
      </c>
      <c r="G13" s="1">
        <v>1.092259265</v>
      </c>
      <c r="H13" s="1">
        <v>6.5275287590000004E-12</v>
      </c>
      <c r="I13" s="1">
        <v>7.6299565760000003E-12</v>
      </c>
      <c r="J13" s="1">
        <f t="shared" si="0"/>
        <v>6.7712303293347513E-8</v>
      </c>
      <c r="K13" s="1">
        <f t="shared" si="1"/>
        <v>0.17398011258420984</v>
      </c>
      <c r="L13" s="1">
        <v>0.01</v>
      </c>
      <c r="M13" s="9">
        <f t="shared" si="3"/>
        <v>-4.6051701859880909</v>
      </c>
      <c r="N13" s="9">
        <f t="shared" si="4"/>
        <v>-6.3621769128260883</v>
      </c>
      <c r="P13">
        <v>-304</v>
      </c>
      <c r="Q13" s="1">
        <v>9.6808686759999995E-3</v>
      </c>
      <c r="R13" s="1">
        <v>4.6872868730000002E-4</v>
      </c>
      <c r="S13" s="1">
        <v>1.374374607E-3</v>
      </c>
      <c r="T13" s="1">
        <v>1.605924127E-4</v>
      </c>
      <c r="U13" s="1">
        <v>0</v>
      </c>
      <c r="V13" s="1">
        <v>0</v>
      </c>
      <c r="W13" s="1">
        <v>2.3882789880000001E-14</v>
      </c>
      <c r="X13" s="1">
        <v>2.9588222109999998E-12</v>
      </c>
      <c r="Y13" s="1">
        <f t="shared" si="5"/>
        <v>3.1616795345811613E-11</v>
      </c>
      <c r="Z13" s="1">
        <f t="shared" si="6"/>
        <v>2.2763642096133347E-4</v>
      </c>
      <c r="AA13" s="1">
        <f t="shared" ref="AA13:AA55" si="9">(Y13/MAX($Y$12:$Y$1201))-MIN($Z$11:$Z$1200)</f>
        <v>4.1856017014859186E-3</v>
      </c>
      <c r="AB13" s="9">
        <f t="shared" si="7"/>
        <v>-5.4761048096320906</v>
      </c>
      <c r="AC13" s="9">
        <f t="shared" si="8"/>
        <v>-6.5897564826034474</v>
      </c>
    </row>
    <row r="14" spans="1:29" x14ac:dyDescent="0.3">
      <c r="A14">
        <v>-291</v>
      </c>
      <c r="B14" s="1">
        <v>1.7339362440000001E-3</v>
      </c>
      <c r="C14" s="1">
        <v>1.496343213E-4</v>
      </c>
      <c r="D14" s="1">
        <v>1.002389486E-2</v>
      </c>
      <c r="E14" s="1">
        <v>1.4917971849999999E-3</v>
      </c>
      <c r="F14" s="1">
        <v>1.37</v>
      </c>
      <c r="G14" s="1">
        <v>1.390116629</v>
      </c>
      <c r="H14" s="1">
        <v>8.5376108839999998E-12</v>
      </c>
      <c r="I14" s="1">
        <v>8.1641752930000008E-12</v>
      </c>
      <c r="J14" s="1">
        <f t="shared" si="0"/>
        <v>8.1147233220431633E-8</v>
      </c>
      <c r="K14" s="1">
        <f t="shared" si="1"/>
        <v>0.2084998454479523</v>
      </c>
      <c r="L14" s="1">
        <f t="shared" si="2"/>
        <v>3.4519732863742464E-2</v>
      </c>
      <c r="M14" s="9">
        <f t="shared" si="3"/>
        <v>-3.3662241513906404</v>
      </c>
      <c r="N14" s="9">
        <f t="shared" si="4"/>
        <v>-6.3573611694658423</v>
      </c>
      <c r="P14">
        <v>-301</v>
      </c>
      <c r="Q14" s="1">
        <v>9.6058976149999992E-3</v>
      </c>
      <c r="R14" s="1">
        <v>5.0154921490000004E-4</v>
      </c>
      <c r="S14" s="1">
        <v>1.396059396E-3</v>
      </c>
      <c r="T14" s="1">
        <v>1.8011008100000001E-4</v>
      </c>
      <c r="U14" s="1">
        <v>0</v>
      </c>
      <c r="V14" s="1">
        <v>0</v>
      </c>
      <c r="W14" s="1">
        <v>3.0606429969999998E-13</v>
      </c>
      <c r="X14" s="1">
        <v>3.0337658279999998E-12</v>
      </c>
      <c r="Y14" s="1">
        <f t="shared" si="5"/>
        <v>4.1008968665068386E-10</v>
      </c>
      <c r="Z14" s="1">
        <f t="shared" si="6"/>
        <v>2.9525873043512929E-3</v>
      </c>
      <c r="AA14" s="1">
        <f t="shared" si="9"/>
        <v>6.9105525848758781E-3</v>
      </c>
      <c r="AB14" s="9">
        <f t="shared" si="7"/>
        <v>-4.9747056755321877</v>
      </c>
      <c r="AC14" s="9">
        <f t="shared" si="8"/>
        <v>-6.5741017282691292</v>
      </c>
    </row>
    <row r="15" spans="1:29" x14ac:dyDescent="0.3">
      <c r="A15">
        <v>-288</v>
      </c>
      <c r="B15" s="1">
        <v>1.7561498919999999E-3</v>
      </c>
      <c r="C15" s="1">
        <v>1.658292561E-4</v>
      </c>
      <c r="D15" s="1">
        <v>9.3354028039999998E-3</v>
      </c>
      <c r="E15" s="1">
        <v>1.1961802509999999E-3</v>
      </c>
      <c r="F15" s="1">
        <v>1.1399999999999999</v>
      </c>
      <c r="G15" s="1">
        <v>0.91032239820000005</v>
      </c>
      <c r="H15" s="1">
        <v>7.7912899989999996E-12</v>
      </c>
      <c r="I15" s="1">
        <v>7.0803782950000002E-12</v>
      </c>
      <c r="J15" s="1">
        <f t="shared" si="0"/>
        <v>8.5318768240171868E-8</v>
      </c>
      <c r="K15" s="1">
        <f t="shared" si="1"/>
        <v>0.219218194951427</v>
      </c>
      <c r="L15" s="1">
        <f t="shared" si="2"/>
        <v>4.5238082367217158E-2</v>
      </c>
      <c r="M15" s="9">
        <f t="shared" si="3"/>
        <v>-3.0958160166251609</v>
      </c>
      <c r="N15" s="9">
        <f t="shared" si="4"/>
        <v>-6.3446314275032778</v>
      </c>
      <c r="P15">
        <v>-298</v>
      </c>
      <c r="Q15" s="1">
        <v>9.641994793E-3</v>
      </c>
      <c r="R15" s="1">
        <v>5.1677603909999997E-4</v>
      </c>
      <c r="S15" s="1">
        <v>1.3797958040000001E-3</v>
      </c>
      <c r="T15" s="1">
        <v>1.7678289400000001E-4</v>
      </c>
      <c r="U15" s="1">
        <v>0</v>
      </c>
      <c r="V15" s="1">
        <v>0</v>
      </c>
      <c r="W15" s="1">
        <v>4.4930171680000001E-13</v>
      </c>
      <c r="X15" s="1">
        <v>2.6855011449999998E-12</v>
      </c>
      <c r="Y15" s="1">
        <f t="shared" si="5"/>
        <v>5.9852100223819774E-10</v>
      </c>
      <c r="Z15" s="1">
        <f t="shared" si="6"/>
        <v>4.3092659243133087E-3</v>
      </c>
      <c r="AA15" s="1">
        <f t="shared" si="9"/>
        <v>8.2672312048378931E-3</v>
      </c>
      <c r="AB15" s="9">
        <f t="shared" si="7"/>
        <v>-4.7954556259032186</v>
      </c>
      <c r="AC15" s="9">
        <f t="shared" si="8"/>
        <v>-6.5858197588773271</v>
      </c>
    </row>
    <row r="16" spans="1:29" x14ac:dyDescent="0.3">
      <c r="A16">
        <v>-285</v>
      </c>
      <c r="B16" s="1">
        <v>1.806130599E-3</v>
      </c>
      <c r="C16" s="1">
        <v>1.880149507E-4</v>
      </c>
      <c r="D16" s="1">
        <v>8.8746010359999992E-3</v>
      </c>
      <c r="E16" s="1">
        <v>1.086209011E-3</v>
      </c>
      <c r="F16" s="1">
        <v>1.19</v>
      </c>
      <c r="G16" s="1">
        <v>1.0981619170000001</v>
      </c>
      <c r="H16" s="1">
        <v>6.9807835939999999E-12</v>
      </c>
      <c r="I16" s="1">
        <v>6.7088157180000003E-12</v>
      </c>
      <c r="J16" s="1">
        <f t="shared" si="0"/>
        <v>8.4545011406030637E-8</v>
      </c>
      <c r="K16" s="1">
        <f t="shared" si="1"/>
        <v>0.2172301027647901</v>
      </c>
      <c r="L16" s="1">
        <f t="shared" si="2"/>
        <v>4.3249990180580261E-2</v>
      </c>
      <c r="M16" s="9">
        <f t="shared" si="3"/>
        <v>-3.1407582726428811</v>
      </c>
      <c r="N16" s="9">
        <f t="shared" si="4"/>
        <v>-6.3165685126483826</v>
      </c>
      <c r="P16">
        <v>-295</v>
      </c>
      <c r="Q16" s="1">
        <v>9.6197811450000007E-3</v>
      </c>
      <c r="R16" s="1">
        <v>4.9979928010000004E-4</v>
      </c>
      <c r="S16" s="1">
        <v>1.385217001E-3</v>
      </c>
      <c r="T16" s="1">
        <v>1.9145518459999999E-4</v>
      </c>
      <c r="U16" s="1">
        <v>0</v>
      </c>
      <c r="V16" s="1">
        <v>0</v>
      </c>
      <c r="W16" s="1">
        <v>-3.308748132E-14</v>
      </c>
      <c r="X16" s="1">
        <v>2.7844574140000001E-12</v>
      </c>
      <c r="Y16" s="1">
        <f t="shared" si="5"/>
        <v>-4.4234147517710472E-11</v>
      </c>
      <c r="Z16" s="1">
        <f t="shared" si="6"/>
        <v>-3.1847955857237698E-4</v>
      </c>
      <c r="AA16" s="1">
        <f t="shared" si="9"/>
        <v>3.6394857219522081E-3</v>
      </c>
      <c r="AB16" s="9">
        <f t="shared" si="7"/>
        <v>-5.6159128924931432</v>
      </c>
      <c r="AC16" s="9">
        <f t="shared" si="8"/>
        <v>-6.5818984721933917</v>
      </c>
    </row>
    <row r="17" spans="1:29" x14ac:dyDescent="0.3">
      <c r="A17">
        <v>-282</v>
      </c>
      <c r="B17" s="1">
        <v>1.8588880119999999E-3</v>
      </c>
      <c r="C17" s="1">
        <v>1.8085767310000001E-4</v>
      </c>
      <c r="D17" s="1">
        <v>9.0507899479999997E-3</v>
      </c>
      <c r="E17" s="1">
        <v>1.210044259E-3</v>
      </c>
      <c r="F17" s="1">
        <v>1.26</v>
      </c>
      <c r="G17" s="1">
        <v>1.1944315240000001</v>
      </c>
      <c r="H17" s="1">
        <v>7.0673454129999999E-12</v>
      </c>
      <c r="I17" s="1">
        <v>7.5740067490000005E-12</v>
      </c>
      <c r="J17" s="1">
        <f t="shared" si="0"/>
        <v>8.2309546890924786E-8</v>
      </c>
      <c r="K17" s="1">
        <f t="shared" si="1"/>
        <v>0.21148629626139601</v>
      </c>
      <c r="L17" s="1">
        <f t="shared" si="2"/>
        <v>3.7506183677186167E-2</v>
      </c>
      <c r="M17" s="9">
        <f t="shared" si="3"/>
        <v>-3.2832494615416645</v>
      </c>
      <c r="N17" s="9">
        <f t="shared" si="4"/>
        <v>-6.287776813047171</v>
      </c>
      <c r="P17">
        <v>-292</v>
      </c>
      <c r="Q17" s="1">
        <v>9.603120909E-3</v>
      </c>
      <c r="R17" s="1">
        <v>4.5325380400000002E-4</v>
      </c>
      <c r="S17" s="1">
        <v>1.3391368240000001E-3</v>
      </c>
      <c r="T17" s="1">
        <v>1.8668596220000001E-4</v>
      </c>
      <c r="U17" s="1">
        <v>0</v>
      </c>
      <c r="V17" s="1">
        <v>0</v>
      </c>
      <c r="W17" s="1">
        <v>-1.377130363E-13</v>
      </c>
      <c r="X17" s="1">
        <v>3.274209608E-12</v>
      </c>
      <c r="Y17" s="1">
        <f t="shared" si="5"/>
        <v>-1.8460176051357436E-10</v>
      </c>
      <c r="Z17" s="1">
        <f t="shared" si="6"/>
        <v>-1.3291063691576223E-3</v>
      </c>
      <c r="AA17" s="1">
        <f t="shared" si="9"/>
        <v>2.6288589113669632E-3</v>
      </c>
      <c r="AB17" s="9">
        <f t="shared" si="7"/>
        <v>-5.9412054009479807</v>
      </c>
      <c r="AC17" s="9">
        <f t="shared" si="8"/>
        <v>-6.6157300337743088</v>
      </c>
    </row>
    <row r="18" spans="1:29" x14ac:dyDescent="0.3">
      <c r="A18">
        <v>-279</v>
      </c>
      <c r="B18" s="1">
        <v>2.0421506050000001E-3</v>
      </c>
      <c r="C18" s="1">
        <v>2.375207274E-4</v>
      </c>
      <c r="D18" s="1">
        <v>8.9640507909999993E-3</v>
      </c>
      <c r="E18" s="1">
        <v>1.5891417580000001E-3</v>
      </c>
      <c r="F18" s="1">
        <v>1.18</v>
      </c>
      <c r="G18" s="1">
        <v>1.028679648</v>
      </c>
      <c r="H18" s="1">
        <v>6.3535028939999998E-12</v>
      </c>
      <c r="I18" s="1">
        <v>6.0539282610000001E-12</v>
      </c>
      <c r="J18" s="1">
        <f t="shared" si="0"/>
        <v>7.5427490345606762E-8</v>
      </c>
      <c r="K18" s="1">
        <f t="shared" si="1"/>
        <v>0.19380352792639888</v>
      </c>
      <c r="L18" s="1">
        <f t="shared" si="2"/>
        <v>1.9823415342189038E-2</v>
      </c>
      <c r="M18" s="9">
        <f t="shared" si="3"/>
        <v>-3.9208914469541387</v>
      </c>
      <c r="N18" s="9">
        <f t="shared" si="4"/>
        <v>-6.1937518082864615</v>
      </c>
      <c r="P18">
        <v>-289</v>
      </c>
      <c r="Q18" s="1">
        <v>9.6336646750000005E-3</v>
      </c>
      <c r="R18" s="1">
        <v>4.5343418299999998E-4</v>
      </c>
      <c r="S18" s="1">
        <v>1.3879275999999999E-3</v>
      </c>
      <c r="T18" s="1">
        <v>1.7012961599999999E-4</v>
      </c>
      <c r="U18" s="1">
        <v>0</v>
      </c>
      <c r="V18" s="1">
        <v>0</v>
      </c>
      <c r="W18" s="1">
        <v>-3.636731344E-13</v>
      </c>
      <c r="X18" s="1">
        <v>2.944626554E-12</v>
      </c>
      <c r="Y18" s="1">
        <f t="shared" si="5"/>
        <v>-4.8510344089432507E-10</v>
      </c>
      <c r="Z18" s="1">
        <f t="shared" si="6"/>
        <v>-3.4926756451248184E-3</v>
      </c>
      <c r="AA18" s="1">
        <f t="shared" si="9"/>
        <v>4.652896353997669E-4</v>
      </c>
      <c r="AB18" s="9">
        <f t="shared" si="7"/>
        <v>-7.6728504744536048</v>
      </c>
      <c r="AC18" s="9">
        <f t="shared" si="8"/>
        <v>-6.5799435796412622</v>
      </c>
    </row>
    <row r="19" spans="1:29" x14ac:dyDescent="0.3">
      <c r="A19">
        <v>-276</v>
      </c>
      <c r="B19" s="1">
        <v>2.2198597860000001E-3</v>
      </c>
      <c r="C19" s="1">
        <v>2.4488244699999998E-4</v>
      </c>
      <c r="D19" s="1">
        <v>9.4221419610000003E-3</v>
      </c>
      <c r="E19" s="1">
        <v>1.0761459E-3</v>
      </c>
      <c r="F19" s="1">
        <v>1.45</v>
      </c>
      <c r="G19" s="1">
        <v>1.140396883</v>
      </c>
      <c r="H19" s="1">
        <v>8.2608818939999995E-12</v>
      </c>
      <c r="I19" s="1">
        <v>7.3801368120000007E-12</v>
      </c>
      <c r="J19" s="1">
        <f t="shared" si="0"/>
        <v>8.881138089828997E-8</v>
      </c>
      <c r="K19" s="1">
        <f t="shared" si="1"/>
        <v>0.22819212013072485</v>
      </c>
      <c r="L19" s="1">
        <f t="shared" si="2"/>
        <v>5.4212007546515006E-2</v>
      </c>
      <c r="M19" s="9">
        <f t="shared" si="3"/>
        <v>-2.9148528536246032</v>
      </c>
      <c r="N19" s="9">
        <f t="shared" si="4"/>
        <v>-6.1103112445520509</v>
      </c>
      <c r="P19">
        <v>-286</v>
      </c>
      <c r="Q19" s="1">
        <v>9.641994793E-3</v>
      </c>
      <c r="R19" s="1">
        <v>5.1978136250000005E-4</v>
      </c>
      <c r="S19" s="1">
        <v>1.439428974E-3</v>
      </c>
      <c r="T19" s="1">
        <v>1.960516826E-4</v>
      </c>
      <c r="U19" s="1">
        <v>0.01</v>
      </c>
      <c r="V19" s="1">
        <v>0.1</v>
      </c>
      <c r="W19" s="1">
        <v>-8.8014267599999997E-14</v>
      </c>
      <c r="X19" s="1">
        <v>2.97695334E-12</v>
      </c>
      <c r="Y19" s="1">
        <f t="shared" si="5"/>
        <v>-1.1724501751383679E-10</v>
      </c>
      <c r="Z19" s="1">
        <f t="shared" si="6"/>
        <v>-8.4414741818336387E-4</v>
      </c>
      <c r="AA19" s="1">
        <f t="shared" si="9"/>
        <v>3.1138178623412215E-3</v>
      </c>
      <c r="AB19" s="9">
        <f t="shared" si="7"/>
        <v>-5.7719056972163152</v>
      </c>
      <c r="AC19" s="9">
        <f t="shared" si="8"/>
        <v>-6.5435087898726518</v>
      </c>
    </row>
    <row r="20" spans="1:29" x14ac:dyDescent="0.3">
      <c r="A20">
        <v>-273</v>
      </c>
      <c r="B20" s="1">
        <v>2.3809087309999998E-3</v>
      </c>
      <c r="C20" s="1">
        <v>2.4097125719999999E-4</v>
      </c>
      <c r="D20" s="1">
        <v>8.9965779749999995E-3</v>
      </c>
      <c r="E20" s="1">
        <v>1.2886931490000001E-3</v>
      </c>
      <c r="F20" s="1">
        <v>1.51</v>
      </c>
      <c r="G20" s="1">
        <v>1.1933739619999999</v>
      </c>
      <c r="H20" s="1">
        <v>9.018468895E-12</v>
      </c>
      <c r="I20" s="1">
        <v>9.1871606330000007E-12</v>
      </c>
      <c r="J20" s="1">
        <f t="shared" si="0"/>
        <v>1.0629648128169957E-7</v>
      </c>
      <c r="K20" s="1">
        <f t="shared" si="1"/>
        <v>0.27311836817272117</v>
      </c>
      <c r="L20" s="1">
        <f t="shared" si="2"/>
        <v>9.9138255588511331E-2</v>
      </c>
      <c r="M20" s="9">
        <f t="shared" si="3"/>
        <v>-2.3112398819801436</v>
      </c>
      <c r="N20" s="9">
        <f t="shared" si="4"/>
        <v>-6.0402730444254651</v>
      </c>
      <c r="P20">
        <v>-283</v>
      </c>
      <c r="Q20" s="1">
        <v>9.5059362009999992E-3</v>
      </c>
      <c r="R20" s="1">
        <v>5.0606303239999996E-4</v>
      </c>
      <c r="S20" s="1">
        <v>1.6156178849999999E-3</v>
      </c>
      <c r="T20" s="1">
        <v>3.7830857009999997E-4</v>
      </c>
      <c r="U20" s="1">
        <v>0.03</v>
      </c>
      <c r="V20" s="1">
        <v>0.171446608</v>
      </c>
      <c r="W20" s="1">
        <v>7.491809464E-14</v>
      </c>
      <c r="X20" s="1">
        <v>2.770346747E-12</v>
      </c>
      <c r="Y20" s="1">
        <f t="shared" si="5"/>
        <v>1.0202218864307638E-10</v>
      </c>
      <c r="Z20" s="1">
        <f t="shared" si="6"/>
        <v>7.3454521963208614E-4</v>
      </c>
      <c r="AA20" s="1">
        <f t="shared" si="9"/>
        <v>4.6925105001566717E-3</v>
      </c>
      <c r="AB20" s="9">
        <f t="shared" si="7"/>
        <v>-5.3617875518595133</v>
      </c>
      <c r="AC20" s="9">
        <f t="shared" si="8"/>
        <v>-6.4280378041456494</v>
      </c>
    </row>
    <row r="21" spans="1:29" x14ac:dyDescent="0.3">
      <c r="A21">
        <v>-270</v>
      </c>
      <c r="B21" s="1">
        <v>2.572501441E-3</v>
      </c>
      <c r="C21" s="1">
        <v>2.684149086E-4</v>
      </c>
      <c r="D21" s="1">
        <v>9.0887383279999994E-3</v>
      </c>
      <c r="E21" s="1">
        <v>1.3472779459999999E-3</v>
      </c>
      <c r="F21" s="1">
        <v>1.62</v>
      </c>
      <c r="G21" s="1">
        <v>1.4687313289999999</v>
      </c>
      <c r="H21" s="1">
        <v>8.8693211740000007E-12</v>
      </c>
      <c r="I21" s="1">
        <v>8.5135777510000004E-12</v>
      </c>
      <c r="J21" s="1">
        <f t="shared" si="0"/>
        <v>1.0243968112489582E-7</v>
      </c>
      <c r="K21" s="1">
        <f t="shared" si="1"/>
        <v>0.26320869898618443</v>
      </c>
      <c r="L21" s="1">
        <f t="shared" si="2"/>
        <v>8.9228586401974591E-2</v>
      </c>
      <c r="M21" s="9">
        <f t="shared" si="3"/>
        <v>-2.4165538153789727</v>
      </c>
      <c r="N21" s="9">
        <f t="shared" si="4"/>
        <v>-5.9628765301007354</v>
      </c>
      <c r="P21">
        <v>-280</v>
      </c>
      <c r="Q21" s="1">
        <v>9.5364799659999992E-3</v>
      </c>
      <c r="R21" s="1">
        <v>4.6592898870000002E-4</v>
      </c>
      <c r="S21" s="1">
        <v>2.0818408509999998E-3</v>
      </c>
      <c r="T21" s="1">
        <v>5.1921167790000002E-4</v>
      </c>
      <c r="U21" s="1">
        <v>0.18</v>
      </c>
      <c r="V21" s="1">
        <v>0.53898520429999996</v>
      </c>
      <c r="W21" s="1">
        <v>7.366387361E-13</v>
      </c>
      <c r="X21" s="1">
        <v>3.3111531170000001E-12</v>
      </c>
      <c r="Y21" s="1">
        <f t="shared" si="5"/>
        <v>9.9816651403411894E-10</v>
      </c>
      <c r="Z21" s="1">
        <f t="shared" si="6"/>
        <v>7.1866566580498798E-3</v>
      </c>
      <c r="AA21" s="1">
        <f t="shared" si="9"/>
        <v>1.1144621938574465E-2</v>
      </c>
      <c r="AB21" s="9">
        <f t="shared" si="7"/>
        <v>-4.4967982347856683</v>
      </c>
      <c r="AC21" s="9">
        <f t="shared" si="8"/>
        <v>-6.1745027521529625</v>
      </c>
    </row>
    <row r="22" spans="1:29" x14ac:dyDescent="0.3">
      <c r="A22">
        <v>-267</v>
      </c>
      <c r="B22" s="1">
        <v>2.7418805040000001E-3</v>
      </c>
      <c r="C22" s="1">
        <v>2.5692582970000003E-4</v>
      </c>
      <c r="D22" s="1">
        <v>9.3543769950000001E-3</v>
      </c>
      <c r="E22" s="1">
        <v>1.538224471E-3</v>
      </c>
      <c r="F22" s="1">
        <v>1.86</v>
      </c>
      <c r="G22" s="1">
        <v>1.484056684</v>
      </c>
      <c r="H22" s="1">
        <v>9.8698825709999999E-12</v>
      </c>
      <c r="I22" s="1">
        <v>8.0080181230000006E-12</v>
      </c>
      <c r="J22" s="1">
        <f t="shared" si="0"/>
        <v>1.0764463686667065E-7</v>
      </c>
      <c r="K22" s="1">
        <f t="shared" si="1"/>
        <v>0.27658232153195272</v>
      </c>
      <c r="L22" s="1">
        <f t="shared" si="2"/>
        <v>0.10260220894774288</v>
      </c>
      <c r="M22" s="9">
        <f t="shared" si="3"/>
        <v>-2.2768958167721323</v>
      </c>
      <c r="N22" s="9">
        <f t="shared" si="4"/>
        <v>-5.899111278660353</v>
      </c>
      <c r="P22">
        <v>-277</v>
      </c>
      <c r="Q22" s="1">
        <v>9.6836453820000005E-3</v>
      </c>
      <c r="R22" s="1">
        <v>5.5165472739999999E-4</v>
      </c>
      <c r="S22" s="1">
        <v>2.5074048370000001E-3</v>
      </c>
      <c r="T22" s="1">
        <v>7.2185538009999996E-4</v>
      </c>
      <c r="U22" s="1">
        <v>0.25</v>
      </c>
      <c r="V22" s="1">
        <v>0.53889149219999999</v>
      </c>
      <c r="W22" s="1">
        <v>1.7411799420000001E-12</v>
      </c>
      <c r="X22" s="1">
        <v>3.8263777049999998E-12</v>
      </c>
      <c r="Y22" s="1">
        <f t="shared" si="5"/>
        <v>2.3040048878327301E-9</v>
      </c>
      <c r="Z22" s="1">
        <f t="shared" si="6"/>
        <v>1.6588506861848679E-2</v>
      </c>
      <c r="AA22" s="1">
        <f t="shared" si="9"/>
        <v>2.0546472142373262E-2</v>
      </c>
      <c r="AB22" s="9">
        <f t="shared" si="7"/>
        <v>-3.885066024681179</v>
      </c>
      <c r="AC22" s="9">
        <f t="shared" si="8"/>
        <v>-5.988506990194316</v>
      </c>
    </row>
    <row r="23" spans="1:29" x14ac:dyDescent="0.3">
      <c r="A23">
        <v>-264</v>
      </c>
      <c r="B23" s="1">
        <v>2.9445800389999999E-3</v>
      </c>
      <c r="C23" s="1">
        <v>2.6207280980000003E-4</v>
      </c>
      <c r="D23" s="1">
        <v>9.8124681649999993E-3</v>
      </c>
      <c r="E23" s="1">
        <v>1.358624621E-3</v>
      </c>
      <c r="F23" s="1">
        <v>1.95</v>
      </c>
      <c r="G23" s="1">
        <v>1.3132964149999999</v>
      </c>
      <c r="H23" s="1">
        <v>1.21001002E-11</v>
      </c>
      <c r="I23" s="1">
        <v>8.9458428270000005E-12</v>
      </c>
      <c r="J23" s="1">
        <f t="shared" si="0"/>
        <v>1.1999142964374353E-7</v>
      </c>
      <c r="K23" s="1">
        <f t="shared" si="1"/>
        <v>0.30830619286598387</v>
      </c>
      <c r="L23" s="1">
        <f t="shared" si="2"/>
        <v>0.13432608028177404</v>
      </c>
      <c r="M23" s="9">
        <f t="shared" si="3"/>
        <v>-2.0074850001008824</v>
      </c>
      <c r="N23" s="9">
        <f t="shared" si="4"/>
        <v>-5.8277890734053619</v>
      </c>
      <c r="P23">
        <v>-274</v>
      </c>
      <c r="Q23" s="1">
        <v>9.6669851459999998E-3</v>
      </c>
      <c r="R23" s="1">
        <v>4.2740467699999999E-4</v>
      </c>
      <c r="S23" s="1">
        <v>3.223002877E-3</v>
      </c>
      <c r="T23" s="1">
        <v>8.3386655540000003E-4</v>
      </c>
      <c r="U23" s="1">
        <v>0.79</v>
      </c>
      <c r="V23" s="1">
        <v>1.017969855</v>
      </c>
      <c r="W23" s="1">
        <v>5.2365881579999999E-12</v>
      </c>
      <c r="X23" s="1">
        <v>5.8340172590000004E-12</v>
      </c>
      <c r="Y23" s="1">
        <f t="shared" si="5"/>
        <v>6.9477997040349236E-9</v>
      </c>
      <c r="Z23" s="1">
        <f t="shared" si="6"/>
        <v>5.0023167777889239E-2</v>
      </c>
      <c r="AA23" s="1">
        <f t="shared" si="9"/>
        <v>5.3981133058413823E-2</v>
      </c>
      <c r="AB23" s="9">
        <f t="shared" si="7"/>
        <v>-2.9191206812751544</v>
      </c>
      <c r="AC23" s="9">
        <f t="shared" si="8"/>
        <v>-5.7374417835026321</v>
      </c>
    </row>
    <row r="24" spans="1:29" x14ac:dyDescent="0.3">
      <c r="A24">
        <v>-261</v>
      </c>
      <c r="B24" s="1">
        <v>3.2389108699999998E-3</v>
      </c>
      <c r="C24" s="1">
        <v>2.7472399319999999E-4</v>
      </c>
      <c r="D24" s="1">
        <v>9.3272710090000002E-3</v>
      </c>
      <c r="E24" s="1">
        <v>1.2204506490000001E-3</v>
      </c>
      <c r="F24" s="1">
        <v>1.89</v>
      </c>
      <c r="G24" s="1">
        <v>1.340096484</v>
      </c>
      <c r="H24" s="1">
        <v>1.060585366E-11</v>
      </c>
      <c r="I24" s="1">
        <v>8.4407517539999996E-12</v>
      </c>
      <c r="J24" s="1">
        <f t="shared" si="0"/>
        <v>1.1634131951253393E-7</v>
      </c>
      <c r="K24" s="1">
        <f t="shared" si="1"/>
        <v>0.29892759339903879</v>
      </c>
      <c r="L24" s="1">
        <f t="shared" si="2"/>
        <v>0.12494748081482895</v>
      </c>
      <c r="M24" s="9">
        <f t="shared" si="3"/>
        <v>-2.0798617834504092</v>
      </c>
      <c r="N24" s="9">
        <f t="shared" si="4"/>
        <v>-5.7325181569239581</v>
      </c>
      <c r="P24">
        <v>-271</v>
      </c>
      <c r="Q24" s="1">
        <v>9.4837225529999999E-3</v>
      </c>
      <c r="R24" s="1">
        <v>4.8081001500000002E-4</v>
      </c>
      <c r="S24" s="1">
        <v>3.716331829E-3</v>
      </c>
      <c r="T24" s="1">
        <v>8.0933275920000002E-4</v>
      </c>
      <c r="U24" s="1">
        <v>1.26</v>
      </c>
      <c r="V24" s="1">
        <v>1.1859446220000001</v>
      </c>
      <c r="W24" s="1">
        <v>8.2613420739999992E-12</v>
      </c>
      <c r="X24" s="1">
        <v>7.5090846609999997E-12</v>
      </c>
      <c r="Y24" s="1">
        <f t="shared" si="5"/>
        <v>1.1291025881876714E-8</v>
      </c>
      <c r="Z24" s="1">
        <f t="shared" si="6"/>
        <v>8.1293777330050915E-2</v>
      </c>
      <c r="AA24" s="1">
        <f t="shared" si="9"/>
        <v>8.5251742610575498E-2</v>
      </c>
      <c r="AB24" s="9">
        <f t="shared" si="7"/>
        <v>-2.4621467218476578</v>
      </c>
      <c r="AC24" s="9">
        <f t="shared" si="8"/>
        <v>-5.5950181646545616</v>
      </c>
    </row>
    <row r="25" spans="1:29" x14ac:dyDescent="0.3">
      <c r="A25">
        <v>-258</v>
      </c>
      <c r="B25" s="1">
        <v>3.4554939340000002E-3</v>
      </c>
      <c r="C25" s="1">
        <v>2.8011400380000001E-4</v>
      </c>
      <c r="D25" s="1">
        <v>9.6742276340000006E-3</v>
      </c>
      <c r="E25" s="1">
        <v>1.312658044E-3</v>
      </c>
      <c r="F25" s="1">
        <v>2.2000000000000002</v>
      </c>
      <c r="G25" s="1">
        <v>1.5308279929999999</v>
      </c>
      <c r="H25" s="1">
        <v>1.3276123730000001E-11</v>
      </c>
      <c r="I25" s="1">
        <v>9.1229501219999994E-12</v>
      </c>
      <c r="J25" s="1">
        <f t="shared" si="0"/>
        <v>1.3542375451526834E-7</v>
      </c>
      <c r="K25" s="1">
        <f t="shared" si="1"/>
        <v>0.34795803585457957</v>
      </c>
      <c r="L25" s="1">
        <f t="shared" si="2"/>
        <v>0.17397792327036973</v>
      </c>
      <c r="M25" s="9">
        <f t="shared" si="3"/>
        <v>-1.7488268655737673</v>
      </c>
      <c r="N25" s="9">
        <f t="shared" si="4"/>
        <v>-5.667789869896672</v>
      </c>
      <c r="P25">
        <v>-268</v>
      </c>
      <c r="Q25" s="1">
        <v>9.5337032610000004E-3</v>
      </c>
      <c r="R25" s="1">
        <v>5.1536503869999996E-4</v>
      </c>
      <c r="S25" s="1">
        <v>4.6785943450000003E-3</v>
      </c>
      <c r="T25" s="1">
        <v>8.942195608E-4</v>
      </c>
      <c r="U25" s="1">
        <v>2.48</v>
      </c>
      <c r="V25" s="1">
        <v>1.6786237749999999</v>
      </c>
      <c r="W25" s="1">
        <v>1.457690459E-11</v>
      </c>
      <c r="X25" s="1">
        <v>1.0087002389999999E-11</v>
      </c>
      <c r="Y25" s="1">
        <f t="shared" si="5"/>
        <v>1.9761039410029277E-8</v>
      </c>
      <c r="Z25" s="1">
        <f t="shared" si="6"/>
        <v>0.1422766677196092</v>
      </c>
      <c r="AA25" s="1">
        <f t="shared" si="9"/>
        <v>0.14623463300013378</v>
      </c>
      <c r="AB25" s="9">
        <f t="shared" si="7"/>
        <v>-1.9225428718941371</v>
      </c>
      <c r="AC25" s="9">
        <f t="shared" si="8"/>
        <v>-5.3647575678002468</v>
      </c>
    </row>
    <row r="26" spans="1:29" x14ac:dyDescent="0.3">
      <c r="A26">
        <v>-255</v>
      </c>
      <c r="B26" s="1">
        <v>3.7165042929999999E-3</v>
      </c>
      <c r="C26" s="1">
        <v>3.0236244259999997E-4</v>
      </c>
      <c r="D26" s="1">
        <v>9.5034599200000004E-3</v>
      </c>
      <c r="E26" s="1">
        <v>1.448483642E-3</v>
      </c>
      <c r="F26" s="1">
        <v>2.08</v>
      </c>
      <c r="G26" s="1">
        <v>1.7562586499999999</v>
      </c>
      <c r="H26" s="1">
        <v>1.270872132E-11</v>
      </c>
      <c r="I26" s="1">
        <v>1.081948382E-11</v>
      </c>
      <c r="J26" s="1">
        <f t="shared" si="0"/>
        <v>1.3431273077766851E-7</v>
      </c>
      <c r="K26" s="1">
        <f t="shared" si="1"/>
        <v>0.34510336948598863</v>
      </c>
      <c r="L26" s="1">
        <f t="shared" si="2"/>
        <v>0.17112325690177879</v>
      </c>
      <c r="M26" s="9">
        <f t="shared" si="3"/>
        <v>-1.7653711815362645</v>
      </c>
      <c r="N26" s="9">
        <f t="shared" si="4"/>
        <v>-5.5949717586805292</v>
      </c>
      <c r="P26">
        <v>-265</v>
      </c>
      <c r="Q26" s="1">
        <v>9.5586936140000002E-3</v>
      </c>
      <c r="R26" s="1">
        <v>4.9428391190000005E-4</v>
      </c>
      <c r="S26" s="1">
        <v>5.4700891480000003E-3</v>
      </c>
      <c r="T26" s="1">
        <v>1.0802071280000001E-3</v>
      </c>
      <c r="U26" s="1">
        <v>2.44</v>
      </c>
      <c r="V26" s="1">
        <v>1.6594997419999999</v>
      </c>
      <c r="W26" s="1">
        <v>1.5870746849999999E-11</v>
      </c>
      <c r="X26" s="1">
        <v>1.230106966E-11</v>
      </c>
      <c r="Y26" s="1">
        <f t="shared" si="5"/>
        <v>2.1427900709622951E-8</v>
      </c>
      <c r="Z26" s="1">
        <f t="shared" si="6"/>
        <v>0.15427783154182201</v>
      </c>
      <c r="AA26" s="1">
        <f t="shared" si="9"/>
        <v>0.15823579682234659</v>
      </c>
      <c r="AB26" s="9">
        <f t="shared" si="7"/>
        <v>-1.8436689735033169</v>
      </c>
      <c r="AC26" s="9">
        <f t="shared" si="8"/>
        <v>-5.2084603650576513</v>
      </c>
    </row>
    <row r="27" spans="1:29" x14ac:dyDescent="0.3">
      <c r="A27">
        <v>-252</v>
      </c>
      <c r="B27" s="1">
        <v>4.0108351240000003E-3</v>
      </c>
      <c r="C27" s="1">
        <v>3.0410888079999998E-4</v>
      </c>
      <c r="D27" s="1">
        <v>9.3570875940000003E-3</v>
      </c>
      <c r="E27" s="1">
        <v>1.4105744899999999E-3</v>
      </c>
      <c r="F27" s="1">
        <v>2.4500000000000002</v>
      </c>
      <c r="G27" s="1">
        <v>1.5723301890000001</v>
      </c>
      <c r="H27" s="1">
        <v>1.4669556240000001E-11</v>
      </c>
      <c r="I27" s="1">
        <v>9.8851316780000008E-12</v>
      </c>
      <c r="J27" s="1">
        <f t="shared" si="0"/>
        <v>1.5989945862259618E-7</v>
      </c>
      <c r="K27" s="1">
        <f t="shared" si="1"/>
        <v>0.41084595354544129</v>
      </c>
      <c r="L27" s="1">
        <f t="shared" si="2"/>
        <v>0.23686584096123145</v>
      </c>
      <c r="M27" s="9">
        <f t="shared" si="3"/>
        <v>-1.4402613700197275</v>
      </c>
      <c r="N27" s="9">
        <f t="shared" si="4"/>
        <v>-5.5187557989977076</v>
      </c>
      <c r="P27">
        <v>-262</v>
      </c>
      <c r="Q27" s="1">
        <v>9.5586936140000002E-3</v>
      </c>
      <c r="R27" s="1">
        <v>4.39221978E-4</v>
      </c>
      <c r="S27" s="1">
        <v>6.8091248739999997E-3</v>
      </c>
      <c r="T27" s="1">
        <v>1.113616978E-3</v>
      </c>
      <c r="U27" s="1">
        <v>3.19</v>
      </c>
      <c r="V27" s="1">
        <v>1.7792008189999999</v>
      </c>
      <c r="W27" s="1">
        <v>1.9861889510000001E-11</v>
      </c>
      <c r="X27" s="1">
        <v>1.082811441E-11</v>
      </c>
      <c r="Y27" s="1">
        <f t="shared" si="5"/>
        <v>2.6816544952059499E-8</v>
      </c>
      <c r="Z27" s="1">
        <f t="shared" si="6"/>
        <v>0.1930753021825222</v>
      </c>
      <c r="AA27" s="1">
        <f t="shared" si="9"/>
        <v>0.19703326746304678</v>
      </c>
      <c r="AB27" s="9">
        <f t="shared" si="7"/>
        <v>-1.6243826941303487</v>
      </c>
      <c r="AC27" s="9">
        <f t="shared" si="8"/>
        <v>-4.9894916730988799</v>
      </c>
    </row>
    <row r="28" spans="1:29" x14ac:dyDescent="0.3">
      <c r="A28">
        <v>-249</v>
      </c>
      <c r="B28" s="1">
        <v>4.3273796020000003E-3</v>
      </c>
      <c r="C28" s="1">
        <v>3.4154953949999998E-4</v>
      </c>
      <c r="D28" s="1">
        <v>9.2025834709999997E-3</v>
      </c>
      <c r="E28" s="1">
        <v>1.3242537409999999E-3</v>
      </c>
      <c r="F28" s="1">
        <v>2.33</v>
      </c>
      <c r="G28" s="1">
        <v>1.73528445</v>
      </c>
      <c r="H28" s="1">
        <v>1.317814861E-11</v>
      </c>
      <c r="I28" s="1">
        <v>1.0612294439999999E-11</v>
      </c>
      <c r="J28" s="1">
        <f t="shared" si="0"/>
        <v>1.4848205436541396E-7</v>
      </c>
      <c r="K28" s="1">
        <f t="shared" si="1"/>
        <v>0.38151005472837723</v>
      </c>
      <c r="L28" s="1">
        <f t="shared" si="2"/>
        <v>0.2075299421441674</v>
      </c>
      <c r="M28" s="9">
        <f t="shared" si="3"/>
        <v>-1.5724796502315908</v>
      </c>
      <c r="N28" s="9">
        <f t="shared" si="4"/>
        <v>-5.4427930929069461</v>
      </c>
      <c r="P28">
        <v>-259</v>
      </c>
      <c r="Q28" s="1">
        <v>9.6003442030000007E-3</v>
      </c>
      <c r="R28" s="1">
        <v>4.822009979E-4</v>
      </c>
      <c r="S28" s="1">
        <v>7.6602528469999999E-3</v>
      </c>
      <c r="T28" s="1">
        <v>1.144653655E-3</v>
      </c>
      <c r="U28" s="1">
        <v>2.58</v>
      </c>
      <c r="V28" s="1">
        <v>1.7988773149999999</v>
      </c>
      <c r="W28" s="1">
        <v>1.448777246E-11</v>
      </c>
      <c r="X28" s="1">
        <v>8.2619969039999998E-12</v>
      </c>
      <c r="Y28" s="1">
        <f t="shared" si="5"/>
        <v>1.942929623903461E-8</v>
      </c>
      <c r="Z28" s="1">
        <f t="shared" si="6"/>
        <v>0.1398881641632678</v>
      </c>
      <c r="AA28" s="1">
        <f t="shared" si="9"/>
        <v>0.14384612944379238</v>
      </c>
      <c r="AB28" s="9">
        <f t="shared" si="7"/>
        <v>-1.939011096237141</v>
      </c>
      <c r="AC28" s="9">
        <f t="shared" si="8"/>
        <v>-4.8717102870276774</v>
      </c>
    </row>
    <row r="29" spans="1:29" x14ac:dyDescent="0.3">
      <c r="A29">
        <v>-246</v>
      </c>
      <c r="B29" s="1">
        <v>4.5633996080000003E-3</v>
      </c>
      <c r="C29" s="1">
        <v>2.8899524450000001E-4</v>
      </c>
      <c r="D29" s="1">
        <v>9.4384055530000004E-3</v>
      </c>
      <c r="E29" s="1">
        <v>1.5649648529999999E-3</v>
      </c>
      <c r="F29" s="1">
        <v>2.69</v>
      </c>
      <c r="G29" s="1">
        <v>1.790519365</v>
      </c>
      <c r="H29" s="1">
        <v>1.5223141090000001E-11</v>
      </c>
      <c r="I29" s="1">
        <v>1.0722136479999999E-11</v>
      </c>
      <c r="J29" s="1">
        <f t="shared" si="0"/>
        <v>1.6310076204129877E-7</v>
      </c>
      <c r="K29" s="1">
        <f t="shared" si="1"/>
        <v>0.4190713882465647</v>
      </c>
      <c r="L29" s="1">
        <f t="shared" si="2"/>
        <v>0.24509127566235486</v>
      </c>
      <c r="M29" s="9">
        <f t="shared" si="3"/>
        <v>-1.4061245840944196</v>
      </c>
      <c r="N29" s="9">
        <f t="shared" si="4"/>
        <v>-5.389687405153671</v>
      </c>
      <c r="P29">
        <v>-256</v>
      </c>
      <c r="Q29" s="1">
        <v>9.5809072619999994E-3</v>
      </c>
      <c r="R29" s="1">
        <v>5.3344619590000003E-4</v>
      </c>
      <c r="S29" s="1">
        <v>8.5330656080000004E-3</v>
      </c>
      <c r="T29" s="1">
        <v>1.265427041E-3</v>
      </c>
      <c r="U29" s="1">
        <v>2.74</v>
      </c>
      <c r="V29" s="1">
        <v>1.867424089</v>
      </c>
      <c r="W29" s="1">
        <v>1.4615275019999999E-11</v>
      </c>
      <c r="X29" s="1">
        <v>8.5072955080000007E-12</v>
      </c>
      <c r="Y29" s="1">
        <f t="shared" si="5"/>
        <v>1.9661955349362316E-8</v>
      </c>
      <c r="Z29" s="1">
        <f t="shared" si="6"/>
        <v>0.14156327660270934</v>
      </c>
      <c r="AA29" s="1">
        <f t="shared" si="9"/>
        <v>0.14552124188323393</v>
      </c>
      <c r="AB29" s="9">
        <f t="shared" si="7"/>
        <v>-1.9274332107018004</v>
      </c>
      <c r="AC29" s="9">
        <f t="shared" si="8"/>
        <v>-4.7638065907194065</v>
      </c>
    </row>
    <row r="30" spans="1:29" x14ac:dyDescent="0.3">
      <c r="A30">
        <v>-243</v>
      </c>
      <c r="B30" s="1">
        <v>4.9104878519999999E-3</v>
      </c>
      <c r="C30" s="1">
        <v>3.5188211890000001E-4</v>
      </c>
      <c r="D30" s="1">
        <v>9.4221419610000003E-3</v>
      </c>
      <c r="E30" s="1">
        <v>1.5988470879999999E-3</v>
      </c>
      <c r="F30" s="1">
        <v>2.76</v>
      </c>
      <c r="G30" s="1">
        <v>1.741472731</v>
      </c>
      <c r="H30" s="1">
        <v>1.5679939279999999E-11</v>
      </c>
      <c r="I30" s="1">
        <v>1.13110502E-11</v>
      </c>
      <c r="J30" s="1">
        <f t="shared" si="0"/>
        <v>1.6857244513682894E-7</v>
      </c>
      <c r="K30" s="1">
        <f t="shared" si="1"/>
        <v>0.43313034052974581</v>
      </c>
      <c r="L30" s="1">
        <f t="shared" si="2"/>
        <v>0.25915022794553599</v>
      </c>
      <c r="M30" s="9">
        <f t="shared" si="3"/>
        <v>-1.3503473547576283</v>
      </c>
      <c r="N30" s="9">
        <f t="shared" si="4"/>
        <v>-5.3163819832520023</v>
      </c>
      <c r="P30">
        <v>-253</v>
      </c>
      <c r="Q30" s="1">
        <v>9.3254503140000004E-3</v>
      </c>
      <c r="R30" s="1">
        <v>5.0832789179999999E-4</v>
      </c>
      <c r="S30" s="1">
        <v>9.4492479470000001E-3</v>
      </c>
      <c r="T30" s="1">
        <v>1.42096427E-3</v>
      </c>
      <c r="U30" s="1">
        <v>3.04</v>
      </c>
      <c r="V30" s="1">
        <v>2.0046410799999999</v>
      </c>
      <c r="W30" s="1">
        <v>1.801120822E-11</v>
      </c>
      <c r="X30" s="1">
        <v>9.2321952610000003E-12</v>
      </c>
      <c r="Y30" s="1">
        <f t="shared" si="5"/>
        <v>2.5267055689821602E-8</v>
      </c>
      <c r="Z30" s="1">
        <f t="shared" si="6"/>
        <v>0.18191920030325384</v>
      </c>
      <c r="AA30" s="1">
        <f t="shared" si="9"/>
        <v>0.18587716558377843</v>
      </c>
      <c r="AB30" s="9">
        <f t="shared" si="7"/>
        <v>-1.6826692235163401</v>
      </c>
      <c r="AC30" s="9">
        <f t="shared" si="8"/>
        <v>-4.6618201229713696</v>
      </c>
    </row>
    <row r="31" spans="1:29" x14ac:dyDescent="0.3">
      <c r="A31">
        <v>-240</v>
      </c>
      <c r="B31" s="1">
        <v>5.2103720949999996E-3</v>
      </c>
      <c r="C31" s="1">
        <v>3.3778933070000001E-4</v>
      </c>
      <c r="D31" s="1">
        <v>9.4356949540000002E-3</v>
      </c>
      <c r="E31" s="1">
        <v>1.3295337069999999E-3</v>
      </c>
      <c r="F31" s="1">
        <v>3.03</v>
      </c>
      <c r="G31" s="1">
        <v>1.7259457949999999</v>
      </c>
      <c r="H31" s="1">
        <v>1.823436911E-11</v>
      </c>
      <c r="I31" s="1">
        <v>1.1551943600000001E-11</v>
      </c>
      <c r="J31" s="1">
        <f t="shared" si="0"/>
        <v>1.9547476350748873E-7</v>
      </c>
      <c r="K31" s="1">
        <f t="shared" si="1"/>
        <v>0.50225320522726802</v>
      </c>
      <c r="L31" s="1">
        <f t="shared" si="2"/>
        <v>0.32827309264305815</v>
      </c>
      <c r="M31" s="9">
        <f t="shared" si="3"/>
        <v>-1.1139094174951842</v>
      </c>
      <c r="N31" s="9">
        <f t="shared" si="4"/>
        <v>-5.2571040063813079</v>
      </c>
      <c r="P31">
        <v>-250</v>
      </c>
      <c r="Q31" s="1">
        <v>9.5225964369999999E-3</v>
      </c>
      <c r="R31" s="1">
        <v>4.9135246669999996E-4</v>
      </c>
      <c r="S31" s="1">
        <v>9.9994994709999997E-3</v>
      </c>
      <c r="T31" s="1">
        <v>1.5417714030000001E-3</v>
      </c>
      <c r="U31" s="1">
        <v>3.47</v>
      </c>
      <c r="V31" s="1">
        <v>1.976912193</v>
      </c>
      <c r="W31" s="1">
        <v>1.9502315970000001E-11</v>
      </c>
      <c r="X31" s="1">
        <v>1.0506025549999999E-11</v>
      </c>
      <c r="Y31" s="1">
        <f t="shared" si="5"/>
        <v>2.6485937517480369E-8</v>
      </c>
      <c r="Z31" s="1">
        <f t="shared" si="6"/>
        <v>0.19069497576652536</v>
      </c>
      <c r="AA31" s="1">
        <f t="shared" si="9"/>
        <v>0.19465294104704994</v>
      </c>
      <c r="AB31" s="9">
        <f t="shared" si="7"/>
        <v>-1.6365370956277971</v>
      </c>
      <c r="AC31" s="9">
        <f t="shared" si="8"/>
        <v>-4.6052202401407794</v>
      </c>
    </row>
    <row r="32" spans="1:29" x14ac:dyDescent="0.3">
      <c r="A32">
        <v>-237</v>
      </c>
      <c r="B32" s="1">
        <v>5.6407615170000003E-3</v>
      </c>
      <c r="C32" s="1">
        <v>3.3899759489999998E-4</v>
      </c>
      <c r="D32" s="1">
        <v>9.2324000559999998E-3</v>
      </c>
      <c r="E32" s="1">
        <v>1.4566584549999999E-3</v>
      </c>
      <c r="F32" s="1">
        <v>3.08</v>
      </c>
      <c r="G32" s="1">
        <v>1.685829233</v>
      </c>
      <c r="H32" s="1">
        <v>1.858675707E-11</v>
      </c>
      <c r="I32" s="1">
        <v>1.1069397530000001E-11</v>
      </c>
      <c r="J32" s="1">
        <f t="shared" si="0"/>
        <v>2.0807865835266658E-7</v>
      </c>
      <c r="K32" s="1">
        <f t="shared" si="1"/>
        <v>0.53463767507263238</v>
      </c>
      <c r="L32" s="1">
        <f t="shared" si="2"/>
        <v>0.36065756248842251</v>
      </c>
      <c r="M32" s="9">
        <f t="shared" si="3"/>
        <v>-1.0198263512008057</v>
      </c>
      <c r="N32" s="9">
        <f t="shared" si="4"/>
        <v>-5.1777362018419693</v>
      </c>
      <c r="P32">
        <v>-247</v>
      </c>
      <c r="Q32" s="1">
        <v>9.5198197310000007E-3</v>
      </c>
      <c r="R32" s="1">
        <v>5.2668767430000003E-4</v>
      </c>
      <c r="S32" s="1">
        <v>1.0666306739999999E-2</v>
      </c>
      <c r="T32" s="1">
        <v>1.350776847E-3</v>
      </c>
      <c r="U32" s="1">
        <v>3.54</v>
      </c>
      <c r="V32" s="1">
        <v>1.754762639</v>
      </c>
      <c r="W32" s="1">
        <v>2.0785233369999999E-11</v>
      </c>
      <c r="X32" s="1">
        <v>9.6057257449999994E-12</v>
      </c>
      <c r="Y32" s="1">
        <f t="shared" si="5"/>
        <v>2.8241020228472633E-8</v>
      </c>
      <c r="Z32" s="1">
        <f t="shared" si="6"/>
        <v>0.20333132117887973</v>
      </c>
      <c r="AA32" s="1">
        <f t="shared" si="9"/>
        <v>0.20728928645940431</v>
      </c>
      <c r="AB32" s="9">
        <f t="shared" si="7"/>
        <v>-1.5736399422102068</v>
      </c>
      <c r="AC32" s="9">
        <f t="shared" si="8"/>
        <v>-4.5406654085448324</v>
      </c>
    </row>
    <row r="33" spans="1:29" x14ac:dyDescent="0.3">
      <c r="A33">
        <v>-234</v>
      </c>
      <c r="B33" s="1">
        <v>5.8823349349999996E-3</v>
      </c>
      <c r="C33" s="1">
        <v>3.9168269459999999E-4</v>
      </c>
      <c r="D33" s="1">
        <v>9.6986230220000007E-3</v>
      </c>
      <c r="E33" s="1">
        <v>1.382955476E-3</v>
      </c>
      <c r="F33" s="1">
        <v>3.18</v>
      </c>
      <c r="G33" s="1">
        <v>1.7774115779999999</v>
      </c>
      <c r="H33" s="1">
        <v>1.9630503710000001E-11</v>
      </c>
      <c r="I33" s="1">
        <v>1.2960025320000001E-11</v>
      </c>
      <c r="J33" s="1">
        <f t="shared" si="0"/>
        <v>1.9924085025339167E-7</v>
      </c>
      <c r="K33" s="1">
        <f t="shared" si="1"/>
        <v>0.51192979521440063</v>
      </c>
      <c r="L33" s="1">
        <f t="shared" si="2"/>
        <v>0.33794968263019076</v>
      </c>
      <c r="M33" s="9">
        <f t="shared" si="3"/>
        <v>-1.0848582625390681</v>
      </c>
      <c r="N33" s="9">
        <f t="shared" si="4"/>
        <v>-5.1358014981049465</v>
      </c>
      <c r="P33">
        <v>-244</v>
      </c>
      <c r="Q33" s="1">
        <v>9.4809458470000007E-3</v>
      </c>
      <c r="R33" s="1">
        <v>4.8396628910000002E-4</v>
      </c>
      <c r="S33" s="1">
        <v>1.1219268859999999E-2</v>
      </c>
      <c r="T33" s="1">
        <v>1.776604323E-3</v>
      </c>
      <c r="U33" s="1">
        <v>3.9</v>
      </c>
      <c r="V33" s="1">
        <v>2.0961725580000001</v>
      </c>
      <c r="W33" s="1">
        <v>2.438790038E-11</v>
      </c>
      <c r="X33" s="1">
        <v>1.1724876009999999E-11</v>
      </c>
      <c r="Y33" s="1">
        <f t="shared" si="5"/>
        <v>3.3346812687401774E-8</v>
      </c>
      <c r="Z33" s="1">
        <f t="shared" si="6"/>
        <v>0.240092299285915</v>
      </c>
      <c r="AA33" s="1">
        <f t="shared" si="9"/>
        <v>0.24405026456643958</v>
      </c>
      <c r="AB33" s="9">
        <f t="shared" si="7"/>
        <v>-1.4103810725830261</v>
      </c>
      <c r="AC33" s="9">
        <f t="shared" si="8"/>
        <v>-4.4901225450037217</v>
      </c>
    </row>
    <row r="34" spans="1:29" x14ac:dyDescent="0.3">
      <c r="A34">
        <v>-231</v>
      </c>
      <c r="B34" s="1">
        <v>6.1627822360000003E-3</v>
      </c>
      <c r="C34" s="1">
        <v>3.4064767410000002E-4</v>
      </c>
      <c r="D34" s="1">
        <v>9.8585483410000008E-3</v>
      </c>
      <c r="E34" s="1">
        <v>1.305582983E-3</v>
      </c>
      <c r="F34" s="1">
        <v>3.33</v>
      </c>
      <c r="G34" s="1">
        <v>1.8205060900000001</v>
      </c>
      <c r="H34" s="1">
        <v>2.2394424059999999E-11</v>
      </c>
      <c r="I34" s="1">
        <v>1.492611735E-11</v>
      </c>
      <c r="J34" s="1">
        <f t="shared" si="0"/>
        <v>2.2001489664600288E-7</v>
      </c>
      <c r="K34" s="1">
        <f t="shared" si="1"/>
        <v>0.56530666698551912</v>
      </c>
      <c r="L34" s="1">
        <f t="shared" si="2"/>
        <v>0.39132655440130926</v>
      </c>
      <c r="M34" s="9">
        <f t="shared" si="3"/>
        <v>-0.93821289006647923</v>
      </c>
      <c r="N34" s="9">
        <f t="shared" si="4"/>
        <v>-5.0892269417168352</v>
      </c>
      <c r="P34">
        <v>-241</v>
      </c>
      <c r="Q34" s="1">
        <v>9.5142663190000004E-3</v>
      </c>
      <c r="R34" s="1">
        <v>4.4169738410000003E-4</v>
      </c>
      <c r="S34" s="1">
        <v>1.1986368270000001E-2</v>
      </c>
      <c r="T34" s="1">
        <v>1.6704810019999999E-3</v>
      </c>
      <c r="U34" s="1">
        <v>4.28</v>
      </c>
      <c r="V34" s="1">
        <v>2.0502771430000002</v>
      </c>
      <c r="W34" s="1">
        <v>2.5356280679999999E-11</v>
      </c>
      <c r="X34" s="1">
        <v>1.141207098E-11</v>
      </c>
      <c r="Y34" s="1">
        <f t="shared" si="5"/>
        <v>3.448290372303335E-8</v>
      </c>
      <c r="Z34" s="1">
        <f t="shared" si="6"/>
        <v>0.24827199284463258</v>
      </c>
      <c r="AA34" s="1">
        <f t="shared" si="9"/>
        <v>0.25222995812515719</v>
      </c>
      <c r="AB34" s="9">
        <f t="shared" si="7"/>
        <v>-1.3774140753324535</v>
      </c>
      <c r="AC34" s="9">
        <f t="shared" si="8"/>
        <v>-4.4239852524056325</v>
      </c>
    </row>
    <row r="35" spans="1:29" x14ac:dyDescent="0.3">
      <c r="A35">
        <v>-228</v>
      </c>
      <c r="B35" s="1">
        <v>6.562627893E-3</v>
      </c>
      <c r="C35" s="1">
        <v>3.4137848250000001E-4</v>
      </c>
      <c r="D35" s="1">
        <v>9.6498322460000004E-3</v>
      </c>
      <c r="E35" s="1">
        <v>1.33648476E-3</v>
      </c>
      <c r="F35" s="1">
        <v>3.54</v>
      </c>
      <c r="G35" s="1">
        <v>1.8500341250000001</v>
      </c>
      <c r="H35" s="1">
        <v>2.224180747E-11</v>
      </c>
      <c r="I35" s="1">
        <v>1.2684492240000001E-11</v>
      </c>
      <c r="J35" s="1">
        <f t="shared" si="0"/>
        <v>2.2802147337476959E-7</v>
      </c>
      <c r="K35" s="1">
        <f t="shared" si="1"/>
        <v>0.5858787794810898</v>
      </c>
      <c r="L35" s="1">
        <f t="shared" si="2"/>
        <v>0.41189866689687993</v>
      </c>
      <c r="M35" s="9">
        <f t="shared" si="3"/>
        <v>-0.88697791401807569</v>
      </c>
      <c r="N35" s="9">
        <f t="shared" si="4"/>
        <v>-5.0263641627971491</v>
      </c>
      <c r="P35">
        <v>-238</v>
      </c>
      <c r="Q35" s="1">
        <v>9.4504020820000006E-3</v>
      </c>
      <c r="R35" s="1">
        <v>5.1187757739999998E-4</v>
      </c>
      <c r="S35" s="1">
        <v>1.2422774649999999E-2</v>
      </c>
      <c r="T35" s="1">
        <v>1.797221237E-3</v>
      </c>
      <c r="U35" s="1">
        <v>4.91</v>
      </c>
      <c r="V35" s="1">
        <v>1.9232495650000001</v>
      </c>
      <c r="W35" s="1">
        <v>2.906781382E-11</v>
      </c>
      <c r="X35" s="1">
        <v>1.083583696E-11</v>
      </c>
      <c r="Y35" s="1">
        <f t="shared" si="5"/>
        <v>3.9945183961935647E-8</v>
      </c>
      <c r="Z35" s="1">
        <f t="shared" si="6"/>
        <v>0.2875996321664418</v>
      </c>
      <c r="AA35" s="1">
        <f t="shared" si="9"/>
        <v>0.29155759744696641</v>
      </c>
      <c r="AB35" s="9">
        <f t="shared" si="7"/>
        <v>-1.2325177028403727</v>
      </c>
      <c r="AC35" s="9">
        <f t="shared" si="8"/>
        <v>-4.3882238256559276</v>
      </c>
    </row>
    <row r="36" spans="1:29" x14ac:dyDescent="0.3">
      <c r="A36">
        <v>-225</v>
      </c>
      <c r="B36" s="1">
        <v>6.8902791949999997E-3</v>
      </c>
      <c r="C36" s="1">
        <v>4.2190279979999998E-4</v>
      </c>
      <c r="D36" s="1">
        <v>9.5305659060000002E-3</v>
      </c>
      <c r="E36" s="1">
        <v>1.3204176220000001E-3</v>
      </c>
      <c r="F36" s="1">
        <v>3.41</v>
      </c>
      <c r="G36" s="1">
        <v>1.875385482</v>
      </c>
      <c r="H36" s="1">
        <v>2.144432423E-11</v>
      </c>
      <c r="I36" s="1">
        <v>1.390819892E-11</v>
      </c>
      <c r="J36" s="1">
        <f t="shared" si="0"/>
        <v>2.2535446847741564E-7</v>
      </c>
      <c r="K36" s="1">
        <f t="shared" si="1"/>
        <v>0.57902617235156884</v>
      </c>
      <c r="L36" s="1">
        <f t="shared" si="2"/>
        <v>0.40504605976735897</v>
      </c>
      <c r="M36" s="9">
        <f t="shared" si="3"/>
        <v>-0.90375449052147683</v>
      </c>
      <c r="N36" s="9">
        <f t="shared" si="4"/>
        <v>-4.9776436730068729</v>
      </c>
      <c r="P36">
        <v>-235</v>
      </c>
      <c r="Q36" s="1">
        <v>9.4281884339999997E-3</v>
      </c>
      <c r="R36" s="1">
        <v>5.5058075330000002E-4</v>
      </c>
      <c r="S36" s="1">
        <v>1.37265726E-2</v>
      </c>
      <c r="T36" s="1">
        <v>1.906035847E-3</v>
      </c>
      <c r="U36" s="1">
        <v>5.62</v>
      </c>
      <c r="V36" s="1">
        <v>2.0487986130000002</v>
      </c>
      <c r="W36" s="1">
        <v>3.5738114929999997E-11</v>
      </c>
      <c r="X36" s="1">
        <v>1.2540330759999999E-11</v>
      </c>
      <c r="Y36" s="1">
        <f t="shared" si="5"/>
        <v>4.9291024810812934E-8</v>
      </c>
      <c r="Z36" s="1">
        <f t="shared" si="6"/>
        <v>0.35488835445608041</v>
      </c>
      <c r="AA36" s="1">
        <f t="shared" si="9"/>
        <v>0.35884631973660502</v>
      </c>
      <c r="AB36" s="9">
        <f t="shared" si="7"/>
        <v>-1.0248610608738338</v>
      </c>
      <c r="AC36" s="9">
        <f t="shared" si="8"/>
        <v>-4.2884217189152691</v>
      </c>
    </row>
    <row r="37" spans="1:29" x14ac:dyDescent="0.3">
      <c r="A37">
        <v>-222</v>
      </c>
      <c r="B37" s="1">
        <v>7.1290759069999998E-3</v>
      </c>
      <c r="C37" s="1">
        <v>4.6526827999999998E-4</v>
      </c>
      <c r="D37" s="1">
        <v>9.3272710090000002E-3</v>
      </c>
      <c r="E37" s="1">
        <v>1.438702827E-3</v>
      </c>
      <c r="F37" s="1">
        <v>3.7</v>
      </c>
      <c r="G37" s="1">
        <v>1.7436754400000001</v>
      </c>
      <c r="H37" s="1">
        <v>2.5950030660000001E-11</v>
      </c>
      <c r="I37" s="1">
        <v>1.483233854E-11</v>
      </c>
      <c r="J37" s="1">
        <f t="shared" si="0"/>
        <v>2.8465985908909026E-7</v>
      </c>
      <c r="K37" s="1">
        <f t="shared" si="1"/>
        <v>0.73140554853036432</v>
      </c>
      <c r="L37" s="1">
        <f t="shared" si="2"/>
        <v>0.55742543594615446</v>
      </c>
      <c r="M37" s="9">
        <f t="shared" si="3"/>
        <v>-0.58442653177460091</v>
      </c>
      <c r="N37" s="9">
        <f t="shared" si="4"/>
        <v>-4.9435736592669164</v>
      </c>
      <c r="P37">
        <v>-232</v>
      </c>
      <c r="Q37" s="1">
        <v>9.4226350219999994E-3</v>
      </c>
      <c r="R37" s="1">
        <v>5.4703306859999997E-4</v>
      </c>
      <c r="S37" s="1">
        <v>1.362356985E-2</v>
      </c>
      <c r="T37" s="1">
        <v>1.7202624080000001E-3</v>
      </c>
      <c r="U37" s="1">
        <v>5.41</v>
      </c>
      <c r="V37" s="1">
        <v>2.0552716160000002</v>
      </c>
      <c r="W37" s="1">
        <v>3.4986517639999998E-11</v>
      </c>
      <c r="X37" s="1">
        <v>1.3258966400000001E-11</v>
      </c>
      <c r="Y37" s="1">
        <f t="shared" si="5"/>
        <v>4.8298489068458553E-8</v>
      </c>
      <c r="Z37" s="1">
        <f t="shared" si="6"/>
        <v>0.34774223855171565</v>
      </c>
      <c r="AA37" s="1">
        <f t="shared" si="9"/>
        <v>0.35170020383224027</v>
      </c>
      <c r="AB37" s="9">
        <f t="shared" si="7"/>
        <v>-1.0449761599395582</v>
      </c>
      <c r="AC37" s="9">
        <f t="shared" si="8"/>
        <v>-4.2959539090796692</v>
      </c>
    </row>
    <row r="38" spans="1:29" x14ac:dyDescent="0.3">
      <c r="A38">
        <v>-219</v>
      </c>
      <c r="B38" s="1">
        <v>7.4261834440000002E-3</v>
      </c>
      <c r="C38" s="1">
        <v>3.9932292990000002E-4</v>
      </c>
      <c r="D38" s="1">
        <v>9.7311502050000005E-3</v>
      </c>
      <c r="E38" s="1">
        <v>1.5384102130000001E-3</v>
      </c>
      <c r="F38" s="1">
        <v>4.01</v>
      </c>
      <c r="G38" s="1">
        <v>1.9095454000000001</v>
      </c>
      <c r="H38" s="1">
        <v>3.1088809159999998E-11</v>
      </c>
      <c r="I38" s="1">
        <v>1.8410660749999999E-11</v>
      </c>
      <c r="J38" s="1">
        <f t="shared" si="0"/>
        <v>3.1344213468193944E-7</v>
      </c>
      <c r="K38" s="1">
        <f t="shared" si="1"/>
        <v>0.80535877866019256</v>
      </c>
      <c r="L38" s="1">
        <f t="shared" si="2"/>
        <v>0.6313786660759827</v>
      </c>
      <c r="M38" s="9">
        <f t="shared" si="3"/>
        <v>-0.45984949171545797</v>
      </c>
      <c r="N38" s="9">
        <f t="shared" si="4"/>
        <v>-4.9027432205967294</v>
      </c>
      <c r="P38">
        <v>-229</v>
      </c>
      <c r="Q38" s="1">
        <v>9.5059362009999992E-3</v>
      </c>
      <c r="R38" s="1">
        <v>4.9201771969999998E-4</v>
      </c>
      <c r="S38" s="1">
        <v>1.4379826869999999E-2</v>
      </c>
      <c r="T38" s="1">
        <v>1.7266936480000001E-3</v>
      </c>
      <c r="U38" s="1">
        <v>5.82</v>
      </c>
      <c r="V38" s="1">
        <v>1.9299866539999999</v>
      </c>
      <c r="W38" s="1">
        <v>3.975370391E-11</v>
      </c>
      <c r="X38" s="1">
        <v>1.4811080089999999E-11</v>
      </c>
      <c r="Y38" s="1">
        <f t="shared" si="5"/>
        <v>5.4135918686346121E-8</v>
      </c>
      <c r="Z38" s="1">
        <f t="shared" si="6"/>
        <v>0.38977089994182845</v>
      </c>
      <c r="AA38" s="1">
        <f t="shared" si="9"/>
        <v>0.39372886522235306</v>
      </c>
      <c r="AB38" s="9">
        <f t="shared" si="7"/>
        <v>-0.9320927659086522</v>
      </c>
      <c r="AC38" s="9">
        <f t="shared" si="8"/>
        <v>-4.2419289664001001</v>
      </c>
    </row>
    <row r="39" spans="1:29" x14ac:dyDescent="0.3">
      <c r="A39">
        <v>-216</v>
      </c>
      <c r="B39" s="1">
        <v>7.6649801560000003E-3</v>
      </c>
      <c r="C39" s="1">
        <v>4.2523994130000002E-4</v>
      </c>
      <c r="D39" s="1">
        <v>9.7582561920000008E-3</v>
      </c>
      <c r="E39" s="1">
        <v>1.6612054059999999E-3</v>
      </c>
      <c r="F39" s="1">
        <v>4.0599999999999996</v>
      </c>
      <c r="G39" s="1">
        <v>1.728080619</v>
      </c>
      <c r="H39" s="1">
        <v>2.971499789E-11</v>
      </c>
      <c r="I39" s="1">
        <v>1.4668054869999999E-11</v>
      </c>
      <c r="J39" s="1">
        <f t="shared" si="0"/>
        <v>2.9793737992386874E-7</v>
      </c>
      <c r="K39" s="1">
        <f t="shared" si="1"/>
        <v>0.76552083419220796</v>
      </c>
      <c r="L39" s="1">
        <f t="shared" si="2"/>
        <v>0.59154072160799809</v>
      </c>
      <c r="M39" s="9">
        <f t="shared" si="3"/>
        <v>-0.52502475328756693</v>
      </c>
      <c r="N39" s="9">
        <f t="shared" si="4"/>
        <v>-4.8710933555723432</v>
      </c>
      <c r="P39">
        <v>-226</v>
      </c>
      <c r="Q39" s="1">
        <v>9.5559169079999992E-3</v>
      </c>
      <c r="R39" s="1">
        <v>4.9777729429999998E-4</v>
      </c>
      <c r="S39" s="1">
        <v>1.6298930699999999E-2</v>
      </c>
      <c r="T39" s="1">
        <v>1.92105122E-3</v>
      </c>
      <c r="U39" s="1">
        <v>6.62</v>
      </c>
      <c r="V39" s="1">
        <v>2.1592179649999999</v>
      </c>
      <c r="W39" s="1">
        <v>4.8672484219999997E-11</v>
      </c>
      <c r="X39" s="1">
        <v>1.2515447609999999E-11</v>
      </c>
      <c r="Y39" s="1">
        <f t="shared" si="5"/>
        <v>6.574479077495762E-8</v>
      </c>
      <c r="Z39" s="1">
        <f t="shared" si="6"/>
        <v>0.47335312466592644</v>
      </c>
      <c r="AA39" s="1">
        <f t="shared" si="9"/>
        <v>0.47731108994645105</v>
      </c>
      <c r="AB39" s="9">
        <f t="shared" si="7"/>
        <v>-0.73958682048963043</v>
      </c>
      <c r="AC39" s="9">
        <f t="shared" si="8"/>
        <v>-4.1166557745482688</v>
      </c>
    </row>
    <row r="40" spans="1:29" x14ac:dyDescent="0.3">
      <c r="A40">
        <v>-213</v>
      </c>
      <c r="B40" s="1">
        <v>7.9232138090000008E-3</v>
      </c>
      <c r="C40" s="1">
        <v>4.4251650919999999E-4</v>
      </c>
      <c r="D40" s="1">
        <v>1.0059132639999999E-2</v>
      </c>
      <c r="E40" s="1">
        <v>1.2954938389999999E-3</v>
      </c>
      <c r="F40" s="1">
        <v>4.3099999999999996</v>
      </c>
      <c r="G40" s="1">
        <v>1.528814157</v>
      </c>
      <c r="H40" s="1">
        <v>3.5582051999999997E-11</v>
      </c>
      <c r="I40" s="1">
        <v>1.5959790610000001E-11</v>
      </c>
      <c r="J40" s="1">
        <f t="shared" si="0"/>
        <v>3.3584240073862098E-7</v>
      </c>
      <c r="K40" s="1">
        <f t="shared" si="1"/>
        <v>0.86291406213022914</v>
      </c>
      <c r="L40" s="1">
        <f t="shared" si="2"/>
        <v>0.68893394954601928</v>
      </c>
      <c r="M40" s="9">
        <f t="shared" si="3"/>
        <v>-0.37260987679303725</v>
      </c>
      <c r="N40" s="9">
        <f t="shared" si="4"/>
        <v>-4.8379583714992034</v>
      </c>
      <c r="P40">
        <v>-223</v>
      </c>
      <c r="Q40" s="1">
        <v>9.5225964369999999E-3</v>
      </c>
      <c r="R40" s="1">
        <v>4.719492609E-4</v>
      </c>
      <c r="S40" s="1">
        <v>1.6754311269999999E-2</v>
      </c>
      <c r="T40" s="1">
        <v>1.966335986E-3</v>
      </c>
      <c r="U40" s="1">
        <v>6.36</v>
      </c>
      <c r="V40" s="1">
        <v>2.1533155079999999</v>
      </c>
      <c r="W40" s="1">
        <v>5.2594936129999998E-11</v>
      </c>
      <c r="X40" s="1">
        <v>1.517646464E-11</v>
      </c>
      <c r="Y40" s="1">
        <f t="shared" si="5"/>
        <v>7.1428757190577439E-8</v>
      </c>
      <c r="Z40" s="1">
        <f t="shared" si="6"/>
        <v>0.51427687286887391</v>
      </c>
      <c r="AA40" s="1">
        <f t="shared" si="9"/>
        <v>0.51823483814939852</v>
      </c>
      <c r="AB40" s="9">
        <f t="shared" si="7"/>
        <v>-0.65732678395644062</v>
      </c>
      <c r="AC40" s="9">
        <f t="shared" si="8"/>
        <v>-4.0890996645762616</v>
      </c>
    </row>
    <row r="41" spans="1:29" x14ac:dyDescent="0.3">
      <c r="A41">
        <v>-210</v>
      </c>
      <c r="B41" s="1">
        <v>8.1786707559999994E-3</v>
      </c>
      <c r="C41" s="1">
        <v>4.5364024270000002E-4</v>
      </c>
      <c r="D41" s="1">
        <v>1.027326993E-2</v>
      </c>
      <c r="E41" s="1">
        <v>1.5779429289999999E-3</v>
      </c>
      <c r="F41" s="1">
        <v>4.5999999999999996</v>
      </c>
      <c r="G41" s="1">
        <v>1.8963015569999999</v>
      </c>
      <c r="H41" s="1">
        <v>3.6172788129999999E-11</v>
      </c>
      <c r="I41" s="1">
        <v>1.712796636E-11</v>
      </c>
      <c r="J41" s="1">
        <f t="shared" si="0"/>
        <v>3.274022600059975E-7</v>
      </c>
      <c r="K41" s="1">
        <f t="shared" si="1"/>
        <v>0.84122794951156898</v>
      </c>
      <c r="L41" s="1">
        <f t="shared" si="2"/>
        <v>0.66724783692735912</v>
      </c>
      <c r="M41" s="9">
        <f t="shared" si="3"/>
        <v>-0.40459373247516855</v>
      </c>
      <c r="N41" s="9">
        <f t="shared" si="4"/>
        <v>-4.806225640838421</v>
      </c>
      <c r="P41">
        <v>-220</v>
      </c>
      <c r="Q41" s="1">
        <v>9.5225964369999999E-3</v>
      </c>
      <c r="R41" s="1">
        <v>5.054162669E-4</v>
      </c>
      <c r="S41" s="1">
        <v>1.7865656720000001E-2</v>
      </c>
      <c r="T41" s="1">
        <v>1.9968968620000002E-3</v>
      </c>
      <c r="U41" s="1">
        <v>6.66</v>
      </c>
      <c r="V41" s="1">
        <v>2.2662209899999999</v>
      </c>
      <c r="W41" s="1">
        <v>6.3850373379999994E-11</v>
      </c>
      <c r="X41" s="1">
        <v>1.7618140189999999E-11</v>
      </c>
      <c r="Y41" s="1">
        <f t="shared" si="5"/>
        <v>8.6714675447362865E-8</v>
      </c>
      <c r="Z41" s="1">
        <f t="shared" si="6"/>
        <v>0.62433330600902448</v>
      </c>
      <c r="AA41" s="1">
        <f t="shared" si="9"/>
        <v>0.62829127128954909</v>
      </c>
      <c r="AB41" s="9">
        <f t="shared" si="7"/>
        <v>-0.4647514122536171</v>
      </c>
      <c r="AC41" s="9">
        <f t="shared" si="8"/>
        <v>-4.0248750280368659</v>
      </c>
    </row>
    <row r="42" spans="1:29" x14ac:dyDescent="0.3">
      <c r="A42">
        <v>-207</v>
      </c>
      <c r="B42" s="1">
        <v>8.4174674679999995E-3</v>
      </c>
      <c r="C42" s="1">
        <v>4.7651465809999999E-4</v>
      </c>
      <c r="D42" s="1">
        <v>1.0736782300000001E-2</v>
      </c>
      <c r="E42" s="1">
        <v>1.3744368330000001E-3</v>
      </c>
      <c r="F42" s="1">
        <v>4.62</v>
      </c>
      <c r="G42" s="1">
        <v>2.0927001550000002</v>
      </c>
      <c r="H42" s="1">
        <v>3.5610111289999997E-11</v>
      </c>
      <c r="I42" s="1">
        <v>1.908502507E-11</v>
      </c>
      <c r="J42" s="1">
        <f t="shared" si="0"/>
        <v>2.9521184404940603E-7</v>
      </c>
      <c r="K42" s="1">
        <f t="shared" si="1"/>
        <v>0.75851783746594081</v>
      </c>
      <c r="L42" s="1">
        <f t="shared" si="2"/>
        <v>0.58453772488173095</v>
      </c>
      <c r="M42" s="9">
        <f t="shared" si="3"/>
        <v>-0.5369339580112269</v>
      </c>
      <c r="N42" s="9">
        <f t="shared" si="4"/>
        <v>-4.7774462717419777</v>
      </c>
      <c r="P42">
        <v>-217</v>
      </c>
      <c r="Q42" s="1">
        <v>9.5392566720000002E-3</v>
      </c>
      <c r="R42" s="1">
        <v>4.8371679919999999E-4</v>
      </c>
      <c r="S42" s="1">
        <v>1.8483673209999999E-2</v>
      </c>
      <c r="T42" s="1">
        <v>2.4114973860000001E-3</v>
      </c>
      <c r="U42" s="1">
        <v>6.82</v>
      </c>
      <c r="V42" s="1">
        <v>2.1759939099999999</v>
      </c>
      <c r="W42" s="1">
        <v>6.3918254510000001E-11</v>
      </c>
      <c r="X42" s="1">
        <v>1.5751086459999999E-11</v>
      </c>
      <c r="Y42" s="1">
        <f t="shared" si="5"/>
        <v>8.6571985544234816E-8</v>
      </c>
      <c r="Z42" s="1">
        <f t="shared" si="6"/>
        <v>0.62330595904042374</v>
      </c>
      <c r="AA42" s="1">
        <f t="shared" si="9"/>
        <v>0.62726392432094835</v>
      </c>
      <c r="AB42" s="9">
        <f t="shared" si="7"/>
        <v>-0.46638789498487176</v>
      </c>
      <c r="AC42" s="9">
        <f t="shared" si="8"/>
        <v>-3.9908674657452052</v>
      </c>
    </row>
    <row r="43" spans="1:29" x14ac:dyDescent="0.3">
      <c r="A43">
        <v>-204</v>
      </c>
      <c r="B43" s="1">
        <v>8.5229822939999998E-3</v>
      </c>
      <c r="C43" s="1">
        <v>4.8174856069999999E-4</v>
      </c>
      <c r="D43" s="1">
        <v>1.0986157369999999E-2</v>
      </c>
      <c r="E43" s="1">
        <v>1.351128436E-3</v>
      </c>
      <c r="F43" s="1">
        <v>4.53</v>
      </c>
      <c r="G43" s="1">
        <v>1.783510328</v>
      </c>
      <c r="H43" s="1">
        <v>3.3452336509999999E-11</v>
      </c>
      <c r="I43" s="1">
        <v>1.703022517E-11</v>
      </c>
      <c r="J43" s="1">
        <f t="shared" si="0"/>
        <v>2.649374082799643E-7</v>
      </c>
      <c r="K43" s="1">
        <f t="shared" si="1"/>
        <v>0.68073064832289509</v>
      </c>
      <c r="L43" s="1">
        <f t="shared" si="2"/>
        <v>0.50675053573868523</v>
      </c>
      <c r="M43" s="9">
        <f t="shared" si="3"/>
        <v>-0.67973643644548487</v>
      </c>
      <c r="N43" s="9">
        <f t="shared" si="4"/>
        <v>-4.7649889648816561</v>
      </c>
      <c r="P43">
        <v>-214</v>
      </c>
      <c r="Q43" s="1">
        <v>9.3087900790000001E-3</v>
      </c>
      <c r="R43" s="1">
        <v>5.1617287460000002E-4</v>
      </c>
      <c r="S43" s="1">
        <v>1.8760154269999999E-2</v>
      </c>
      <c r="T43" s="1">
        <v>2.3235492330000002E-3</v>
      </c>
      <c r="U43" s="1">
        <v>6.92</v>
      </c>
      <c r="V43" s="1">
        <v>2.033457522</v>
      </c>
      <c r="W43" s="1">
        <v>6.6883863319999996E-11</v>
      </c>
      <c r="X43" s="1">
        <v>1.9630799439999999E-11</v>
      </c>
      <c r="Y43" s="1">
        <f t="shared" si="5"/>
        <v>9.4088562595741806E-8</v>
      </c>
      <c r="Z43" s="1">
        <f t="shared" si="6"/>
        <v>0.67742424266690815</v>
      </c>
      <c r="AA43" s="1">
        <f t="shared" si="9"/>
        <v>0.68138220794743276</v>
      </c>
      <c r="AB43" s="9">
        <f t="shared" si="7"/>
        <v>-0.3836318851213637</v>
      </c>
      <c r="AC43" s="9">
        <f t="shared" si="8"/>
        <v>-3.976020112090322</v>
      </c>
    </row>
    <row r="44" spans="1:29" x14ac:dyDescent="0.3">
      <c r="A44">
        <v>-201</v>
      </c>
      <c r="B44" s="1">
        <v>8.6951380629999991E-3</v>
      </c>
      <c r="C44" s="1">
        <v>4.4437811800000001E-4</v>
      </c>
      <c r="D44" s="1">
        <v>1.0796415469999999E-2</v>
      </c>
      <c r="E44" s="1">
        <v>1.4812002959999999E-3</v>
      </c>
      <c r="F44" s="1">
        <v>4.6399999999999997</v>
      </c>
      <c r="G44" s="1">
        <v>1.9307192360000001</v>
      </c>
      <c r="H44" s="1">
        <v>3.6321541980000003E-11</v>
      </c>
      <c r="I44" s="1">
        <v>1.9154418969999999E-11</v>
      </c>
      <c r="J44" s="1">
        <f t="shared" si="0"/>
        <v>2.9780905317601207E-7</v>
      </c>
      <c r="K44" s="1">
        <f t="shared" si="1"/>
        <v>0.76519111121789207</v>
      </c>
      <c r="L44" s="1">
        <f t="shared" si="2"/>
        <v>0.59121099863368221</v>
      </c>
      <c r="M44" s="9">
        <f t="shared" si="3"/>
        <v>-0.52558230560766017</v>
      </c>
      <c r="N44" s="9">
        <f t="shared" si="4"/>
        <v>-4.7449912528660692</v>
      </c>
      <c r="P44">
        <v>-211</v>
      </c>
      <c r="Q44" s="1">
        <v>9.2532559589999994E-3</v>
      </c>
      <c r="R44" s="1">
        <v>4.860216979E-4</v>
      </c>
      <c r="S44" s="1">
        <v>1.9863367909999999E-2</v>
      </c>
      <c r="T44" s="1">
        <v>2.194004074E-3</v>
      </c>
      <c r="U44" s="1">
        <v>7.23</v>
      </c>
      <c r="V44" s="1">
        <v>2.2240876009999999</v>
      </c>
      <c r="W44" s="1">
        <v>6.9019487279999997E-11</v>
      </c>
      <c r="X44" s="1">
        <v>2.0260963839999999E-11</v>
      </c>
      <c r="Y44" s="1">
        <f t="shared" si="5"/>
        <v>9.7997531592254881E-8</v>
      </c>
      <c r="Z44" s="1">
        <f t="shared" si="6"/>
        <v>0.70556826239700798</v>
      </c>
      <c r="AA44" s="1">
        <f t="shared" si="9"/>
        <v>0.70952622767753259</v>
      </c>
      <c r="AB44" s="9">
        <f t="shared" si="7"/>
        <v>-0.34315781664169748</v>
      </c>
      <c r="AC44" s="9">
        <f t="shared" si="8"/>
        <v>-3.9188780521645641</v>
      </c>
    </row>
    <row r="45" spans="1:29" x14ac:dyDescent="0.3">
      <c r="A45">
        <v>-198</v>
      </c>
      <c r="B45" s="1">
        <v>8.9672552470000007E-3</v>
      </c>
      <c r="C45" s="1">
        <v>4.6697250400000001E-4</v>
      </c>
      <c r="D45" s="1">
        <v>1.0620226559999999E-2</v>
      </c>
      <c r="E45" s="1">
        <v>1.382740801E-3</v>
      </c>
      <c r="F45" s="1">
        <v>4.6100000000000003</v>
      </c>
      <c r="G45" s="1">
        <v>1.874307953</v>
      </c>
      <c r="H45" s="1">
        <v>3.4493191329999998E-11</v>
      </c>
      <c r="I45" s="1">
        <v>1.7840647730000001E-11</v>
      </c>
      <c r="J45" s="1">
        <f t="shared" si="0"/>
        <v>2.9223158394888955E-7</v>
      </c>
      <c r="K45" s="1">
        <f t="shared" si="1"/>
        <v>0.75086035185993827</v>
      </c>
      <c r="L45" s="1">
        <f t="shared" si="2"/>
        <v>0.5768802392757284</v>
      </c>
      <c r="M45" s="9">
        <f t="shared" si="3"/>
        <v>-0.55012059159815319</v>
      </c>
      <c r="N45" s="9">
        <f t="shared" si="4"/>
        <v>-4.7141756422673566</v>
      </c>
      <c r="P45">
        <v>-208</v>
      </c>
      <c r="Q45" s="1">
        <v>9.2477025479999996E-3</v>
      </c>
      <c r="R45" s="1">
        <v>5.2044020469999995E-4</v>
      </c>
      <c r="S45" s="1">
        <v>2.258209835E-2</v>
      </c>
      <c r="T45" s="1">
        <v>2.2441290419999999E-3</v>
      </c>
      <c r="U45" s="1">
        <v>7.15</v>
      </c>
      <c r="V45" s="1">
        <v>2.1806078289999999</v>
      </c>
      <c r="W45" s="1">
        <v>7.8061271849999996E-11</v>
      </c>
      <c r="X45" s="1">
        <v>2.2543949140000001E-11</v>
      </c>
      <c r="Y45" s="1">
        <f t="shared" si="5"/>
        <v>1.1093872032184699E-7</v>
      </c>
      <c r="Z45" s="1">
        <f t="shared" si="6"/>
        <v>0.79874297707534891</v>
      </c>
      <c r="AA45" s="1">
        <f t="shared" si="9"/>
        <v>0.80270094235587353</v>
      </c>
      <c r="AB45" s="9">
        <f t="shared" si="7"/>
        <v>-0.21977305986264453</v>
      </c>
      <c r="AC45" s="9">
        <f t="shared" si="8"/>
        <v>-3.7905977949946048</v>
      </c>
    </row>
    <row r="46" spans="1:29" x14ac:dyDescent="0.3">
      <c r="A46">
        <v>-195</v>
      </c>
      <c r="B46" s="1">
        <v>9.0755467790000002E-3</v>
      </c>
      <c r="C46" s="1">
        <v>5.2579972350000001E-4</v>
      </c>
      <c r="D46" s="1">
        <v>1.0744914100000001E-2</v>
      </c>
      <c r="E46" s="1">
        <v>1.2954279569999999E-3</v>
      </c>
      <c r="F46" s="1">
        <v>4.6100000000000003</v>
      </c>
      <c r="G46" s="1">
        <v>1.9534739839999999</v>
      </c>
      <c r="H46" s="1">
        <v>3.6603546150000002E-11</v>
      </c>
      <c r="I46" s="1">
        <v>1.856289405E-11</v>
      </c>
      <c r="J46" s="1">
        <f t="shared" si="0"/>
        <v>3.0299069798355187E-7</v>
      </c>
      <c r="K46" s="1">
        <f t="shared" si="1"/>
        <v>0.77850483860775221</v>
      </c>
      <c r="L46" s="1">
        <f t="shared" si="2"/>
        <v>0.60452472602354235</v>
      </c>
      <c r="M46" s="9">
        <f t="shared" si="3"/>
        <v>-0.5033127064990538</v>
      </c>
      <c r="N46" s="9">
        <f t="shared" si="4"/>
        <v>-4.7021716495167727</v>
      </c>
      <c r="P46">
        <v>-205</v>
      </c>
      <c r="Q46" s="1">
        <v>9.1977218400000008E-3</v>
      </c>
      <c r="R46" s="1">
        <v>4.7401570309999998E-4</v>
      </c>
      <c r="S46" s="1">
        <v>2.260920433E-2</v>
      </c>
      <c r="T46" s="1">
        <v>2.4367977340000002E-3</v>
      </c>
      <c r="U46" s="1">
        <v>7.22</v>
      </c>
      <c r="V46" s="1">
        <v>2.3637839889999999</v>
      </c>
      <c r="W46" s="1">
        <v>7.8195913220000004E-11</v>
      </c>
      <c r="X46" s="1">
        <v>1.9779315500000001E-11</v>
      </c>
      <c r="Y46" s="1">
        <f t="shared" si="5"/>
        <v>1.1206748748907992E-7</v>
      </c>
      <c r="Z46" s="1">
        <f t="shared" si="6"/>
        <v>0.80686993982527877</v>
      </c>
      <c r="AA46" s="1">
        <f t="shared" si="9"/>
        <v>0.81082790510580338</v>
      </c>
      <c r="AB46" s="9">
        <f t="shared" si="7"/>
        <v>-0.20969944824048745</v>
      </c>
      <c r="AC46" s="9">
        <f t="shared" si="8"/>
        <v>-3.7893981843773785</v>
      </c>
    </row>
    <row r="47" spans="1:29" x14ac:dyDescent="0.3">
      <c r="A47">
        <v>-192</v>
      </c>
      <c r="B47" s="1">
        <v>9.2310423120000006E-3</v>
      </c>
      <c r="C47" s="1">
        <v>4.3480238039999999E-4</v>
      </c>
      <c r="D47" s="1">
        <v>1.0612094759999999E-2</v>
      </c>
      <c r="E47" s="1">
        <v>1.2560288829999999E-3</v>
      </c>
      <c r="F47" s="1">
        <v>4.78</v>
      </c>
      <c r="G47" s="1">
        <v>2.0079639419999999</v>
      </c>
      <c r="H47" s="1">
        <v>4.0150189599999998E-11</v>
      </c>
      <c r="I47" s="1">
        <v>2.1487599289999999E-11</v>
      </c>
      <c r="J47" s="1">
        <f t="shared" si="0"/>
        <v>3.4067743835194661E-7</v>
      </c>
      <c r="K47" s="1">
        <f t="shared" si="1"/>
        <v>0.87533721637844575</v>
      </c>
      <c r="L47" s="1">
        <f t="shared" si="2"/>
        <v>0.70135710379423588</v>
      </c>
      <c r="M47" s="9">
        <f t="shared" si="3"/>
        <v>-0.35473810112427745</v>
      </c>
      <c r="N47" s="9">
        <f t="shared" si="4"/>
        <v>-4.6851833102992195</v>
      </c>
      <c r="P47">
        <v>-202</v>
      </c>
      <c r="Q47" s="1">
        <v>9.2699161950000001E-3</v>
      </c>
      <c r="R47" s="1">
        <v>5.1864139109999996E-4</v>
      </c>
      <c r="S47" s="1">
        <v>2.2907370180000001E-2</v>
      </c>
      <c r="T47" s="1">
        <v>2.5651699009999998E-3</v>
      </c>
      <c r="U47" s="1">
        <v>6.95</v>
      </c>
      <c r="V47" s="1">
        <v>2.324115994</v>
      </c>
      <c r="W47" s="1">
        <v>8.5814745730000001E-11</v>
      </c>
      <c r="X47" s="1">
        <v>2.1510025980000001E-11</v>
      </c>
      <c r="Y47" s="1">
        <f t="shared" si="5"/>
        <v>1.2150507497412535E-7</v>
      </c>
      <c r="Z47" s="1">
        <f t="shared" si="6"/>
        <v>0.87481922482104013</v>
      </c>
      <c r="AA47" s="1">
        <f t="shared" si="9"/>
        <v>0.87877719010156474</v>
      </c>
      <c r="AB47" s="9">
        <f t="shared" si="7"/>
        <v>-0.12922389454185054</v>
      </c>
      <c r="AC47" s="9">
        <f t="shared" si="8"/>
        <v>-3.7762965782805473</v>
      </c>
    </row>
    <row r="48" spans="1:29" x14ac:dyDescent="0.3">
      <c r="A48">
        <v>-189</v>
      </c>
      <c r="B48" s="1">
        <v>9.3726543149999994E-3</v>
      </c>
      <c r="C48" s="1">
        <v>4.4444821469999998E-4</v>
      </c>
      <c r="D48" s="1">
        <v>1.0479275430000001E-2</v>
      </c>
      <c r="E48" s="1">
        <v>1.4416015679999999E-3</v>
      </c>
      <c r="F48" s="1">
        <v>4.3600000000000003</v>
      </c>
      <c r="G48" s="1">
        <v>1.8451136669999999</v>
      </c>
      <c r="H48" s="1">
        <v>3.6074040179999998E-11</v>
      </c>
      <c r="I48" s="1">
        <v>1.8951751819999999E-11</v>
      </c>
      <c r="J48" s="1">
        <f t="shared" si="0"/>
        <v>3.1385972278147432E-7</v>
      </c>
      <c r="K48" s="1">
        <f t="shared" si="1"/>
        <v>0.80643173026628634</v>
      </c>
      <c r="L48" s="1">
        <f t="shared" si="2"/>
        <v>0.63245161768207647</v>
      </c>
      <c r="M48" s="9">
        <f t="shared" si="3"/>
        <v>-0.4581515550895387</v>
      </c>
      <c r="N48" s="9">
        <f t="shared" si="4"/>
        <v>-4.6699589448325058</v>
      </c>
      <c r="P48">
        <v>-199</v>
      </c>
      <c r="Q48" s="1">
        <v>9.3032366669999998E-3</v>
      </c>
      <c r="R48" s="1">
        <v>5.0340137179999997E-4</v>
      </c>
      <c r="S48" s="1">
        <v>2.40647958E-2</v>
      </c>
      <c r="T48" s="1">
        <v>2.4697794080000002E-3</v>
      </c>
      <c r="U48" s="1">
        <v>7.06</v>
      </c>
      <c r="V48" s="1">
        <v>2.1406125810000001</v>
      </c>
      <c r="W48" s="1">
        <v>9.5481070789999994E-11</v>
      </c>
      <c r="X48" s="1">
        <v>2.4465270639999999E-11</v>
      </c>
      <c r="Y48" s="1">
        <f t="shared" si="5"/>
        <v>1.3444184801189188E-7</v>
      </c>
      <c r="Z48" s="1">
        <f t="shared" si="6"/>
        <v>0.96796214714749185</v>
      </c>
      <c r="AA48" s="1">
        <f t="shared" si="9"/>
        <v>0.97192011242801646</v>
      </c>
      <c r="AB48" s="9">
        <f t="shared" si="7"/>
        <v>-2.8481666759452781E-2</v>
      </c>
      <c r="AC48" s="9">
        <f t="shared" si="8"/>
        <v>-3.7270052616152363</v>
      </c>
    </row>
    <row r="49" spans="1:29" x14ac:dyDescent="0.3">
      <c r="A49">
        <v>-186</v>
      </c>
      <c r="B49" s="1">
        <v>9.3893145510000001E-3</v>
      </c>
      <c r="C49" s="1">
        <v>5.4009852590000001E-4</v>
      </c>
      <c r="D49" s="1">
        <v>1.035729849E-2</v>
      </c>
      <c r="E49" s="1">
        <v>1.5900381769999999E-3</v>
      </c>
      <c r="F49" s="1">
        <v>4.58</v>
      </c>
      <c r="G49" s="1">
        <v>1.6586473740000001</v>
      </c>
      <c r="H49" s="1">
        <v>3.787111148E-11</v>
      </c>
      <c r="I49" s="1">
        <v>2.021907628E-11</v>
      </c>
      <c r="J49" s="1">
        <f t="shared" si="0"/>
        <v>3.3726209340676037E-7</v>
      </c>
      <c r="K49" s="1">
        <f t="shared" si="1"/>
        <v>0.86656182299826234</v>
      </c>
      <c r="L49" s="1">
        <f t="shared" si="2"/>
        <v>0.69258171041405248</v>
      </c>
      <c r="M49" s="9">
        <f t="shared" si="3"/>
        <v>-0.36732905450362141</v>
      </c>
      <c r="N49" s="9">
        <f t="shared" si="4"/>
        <v>-4.6681829861900104</v>
      </c>
      <c r="P49">
        <v>-196</v>
      </c>
      <c r="Q49" s="1">
        <v>9.3254503140000004E-3</v>
      </c>
      <c r="R49" s="1">
        <v>5.2044020469999995E-4</v>
      </c>
      <c r="S49" s="1">
        <v>2.3660916600000002E-2</v>
      </c>
      <c r="T49" s="1">
        <v>2.5693789529999999E-3</v>
      </c>
      <c r="U49" s="1">
        <v>7.1</v>
      </c>
      <c r="V49" s="1">
        <v>2.3462844039999999</v>
      </c>
      <c r="W49" s="1">
        <v>9.2781408179999995E-11</v>
      </c>
      <c r="X49" s="1">
        <v>2.5713275110000001E-11</v>
      </c>
      <c r="Y49" s="1">
        <f t="shared" si="5"/>
        <v>1.3015856453544068E-7</v>
      </c>
      <c r="Z49" s="1">
        <f t="shared" si="6"/>
        <v>0.9371231165032512</v>
      </c>
      <c r="AA49" s="1">
        <f t="shared" si="9"/>
        <v>0.94108108178377581</v>
      </c>
      <c r="AB49" s="9">
        <f t="shared" si="7"/>
        <v>-6.0725977557492636E-2</v>
      </c>
      <c r="AC49" s="9">
        <f t="shared" si="8"/>
        <v>-3.7439306806920105</v>
      </c>
    </row>
    <row r="50" spans="1:29" x14ac:dyDescent="0.3">
      <c r="A50">
        <v>-183</v>
      </c>
      <c r="B50" s="1">
        <v>9.553140202E-3</v>
      </c>
      <c r="C50" s="1">
        <v>4.6412026430000001E-4</v>
      </c>
      <c r="D50" s="1">
        <v>1.049011782E-2</v>
      </c>
      <c r="E50" s="1">
        <v>1.464564697E-3</v>
      </c>
      <c r="F50" s="1">
        <v>4.95</v>
      </c>
      <c r="G50" s="1">
        <v>1.8055749800000001</v>
      </c>
      <c r="H50" s="1">
        <v>3.9369317400000002E-11</v>
      </c>
      <c r="I50" s="1">
        <v>1.8413393630000001E-11</v>
      </c>
      <c r="J50" s="1">
        <f t="shared" si="0"/>
        <v>3.4182589260165614E-7</v>
      </c>
      <c r="K50" s="1">
        <f t="shared" si="1"/>
        <v>0.87828805677146349</v>
      </c>
      <c r="L50" s="1">
        <f t="shared" si="2"/>
        <v>0.70430794418725362</v>
      </c>
      <c r="M50" s="9">
        <f t="shared" si="3"/>
        <v>-0.35053959774411825</v>
      </c>
      <c r="N50" s="9">
        <f t="shared" si="4"/>
        <v>-4.6508853615745975</v>
      </c>
      <c r="P50">
        <v>-193</v>
      </c>
      <c r="Q50" s="1">
        <v>9.3004599610000006E-3</v>
      </c>
      <c r="R50" s="1">
        <v>4.8976489399999996E-4</v>
      </c>
      <c r="S50" s="1">
        <v>2.4238274109999999E-2</v>
      </c>
      <c r="T50" s="1">
        <v>2.8470736669999998E-3</v>
      </c>
      <c r="U50" s="1">
        <v>6.81</v>
      </c>
      <c r="V50" s="1">
        <v>1.9730251599999999</v>
      </c>
      <c r="W50" s="1">
        <v>9.8595697080000002E-11</v>
      </c>
      <c r="X50" s="1">
        <v>2.5698930379999999E-11</v>
      </c>
      <c r="Y50" s="1">
        <f t="shared" si="5"/>
        <v>1.3889163786836233E-7</v>
      </c>
      <c r="Z50" s="1">
        <f t="shared" si="6"/>
        <v>1</v>
      </c>
      <c r="AA50" s="1">
        <f t="shared" si="9"/>
        <v>1.0039579652805246</v>
      </c>
      <c r="AB50" s="9">
        <f t="shared" si="7"/>
        <v>3.9501531426061635E-3</v>
      </c>
      <c r="AC50" s="9">
        <f t="shared" si="8"/>
        <v>-3.7198223203983778</v>
      </c>
    </row>
    <row r="51" spans="1:29" x14ac:dyDescent="0.3">
      <c r="A51">
        <v>-180</v>
      </c>
      <c r="B51" s="1">
        <v>9.6447714989999992E-3</v>
      </c>
      <c r="C51" s="1">
        <v>5.8527457059999997E-4</v>
      </c>
      <c r="D51" s="1">
        <v>1.0124187010000001E-2</v>
      </c>
      <c r="E51" s="1">
        <v>1.6127285349999999E-3</v>
      </c>
      <c r="F51" s="1">
        <v>4.99</v>
      </c>
      <c r="G51" s="1">
        <v>1.9253492400000001</v>
      </c>
      <c r="H51" s="1">
        <v>4.176713588E-11</v>
      </c>
      <c r="I51" s="1">
        <v>1.8947476060000001E-11</v>
      </c>
      <c r="J51" s="1">
        <f t="shared" si="0"/>
        <v>3.8919565166147028E-7</v>
      </c>
      <c r="K51" s="1">
        <f>J51/MAX($J$11:$J$1200)</f>
        <v>1</v>
      </c>
      <c r="L51" s="1">
        <f t="shared" si="2"/>
        <v>0.82601988741579013</v>
      </c>
      <c r="M51" s="9">
        <f t="shared" si="3"/>
        <v>-0.19113642897643554</v>
      </c>
      <c r="N51" s="9">
        <f t="shared" si="4"/>
        <v>-4.6413393240403877</v>
      </c>
      <c r="P51">
        <v>-190</v>
      </c>
      <c r="Q51" s="1">
        <v>9.1338576039999998E-3</v>
      </c>
      <c r="R51" s="1">
        <v>4.394790066E-4</v>
      </c>
      <c r="S51" s="1">
        <v>2.3067295500000001E-2</v>
      </c>
      <c r="T51" s="1">
        <v>2.8499083810000002E-3</v>
      </c>
      <c r="U51" s="1">
        <v>6.72</v>
      </c>
      <c r="V51" s="1">
        <v>1.8536341590000001</v>
      </c>
      <c r="W51" s="1">
        <v>8.9856172380000002E-11</v>
      </c>
      <c r="X51" s="1">
        <v>2.2519727059999999E-11</v>
      </c>
      <c r="Y51" s="1">
        <f t="shared" si="5"/>
        <v>1.3017687688217104E-7</v>
      </c>
      <c r="Z51" s="1">
        <f t="shared" si="6"/>
        <v>0.9372549627901221</v>
      </c>
      <c r="AA51" s="1">
        <f t="shared" si="9"/>
        <v>0.94121292807064671</v>
      </c>
      <c r="AB51" s="9">
        <f t="shared" si="7"/>
        <v>-6.058588649159509E-2</v>
      </c>
      <c r="AC51" s="9">
        <f t="shared" si="8"/>
        <v>-3.7693394438375187</v>
      </c>
    </row>
    <row r="52" spans="1:29" x14ac:dyDescent="0.3">
      <c r="P52">
        <v>-187</v>
      </c>
      <c r="Q52" s="1">
        <v>9.3310037260000006E-3</v>
      </c>
      <c r="R52" s="1">
        <v>5.7881856089999999E-4</v>
      </c>
      <c r="S52" s="1">
        <v>2.3387146139999999E-2</v>
      </c>
      <c r="T52" s="1">
        <v>2.6064777459999999E-3</v>
      </c>
      <c r="U52" s="1">
        <v>7.09</v>
      </c>
      <c r="V52" s="1">
        <v>2.19317122</v>
      </c>
      <c r="W52" s="1">
        <v>8.8783510419999999E-11</v>
      </c>
      <c r="X52" s="1">
        <v>2.108427691E-11</v>
      </c>
      <c r="Y52" s="1">
        <f t="shared" si="5"/>
        <v>1.2443522867238388E-7</v>
      </c>
      <c r="Z52" s="1">
        <f t="shared" si="6"/>
        <v>0.8959159138890721</v>
      </c>
      <c r="AA52" s="1">
        <f t="shared" si="9"/>
        <v>0.89987387916959671</v>
      </c>
      <c r="AB52" s="9">
        <f t="shared" si="7"/>
        <v>-0.1055006597335522</v>
      </c>
      <c r="AC52" s="9">
        <f t="shared" si="8"/>
        <v>-3.7555687178010433</v>
      </c>
    </row>
    <row r="53" spans="1:29" x14ac:dyDescent="0.3">
      <c r="P53">
        <v>-184</v>
      </c>
      <c r="Q53" s="1">
        <v>9.4031980809999999E-3</v>
      </c>
      <c r="R53" s="1">
        <v>4.7204001169999998E-4</v>
      </c>
      <c r="S53" s="1">
        <v>2.2465542599999999E-2</v>
      </c>
      <c r="T53" s="1">
        <v>2.58973851E-3</v>
      </c>
      <c r="U53" s="1">
        <v>6.86</v>
      </c>
      <c r="V53" s="1">
        <v>2.146267608</v>
      </c>
      <c r="W53" s="1">
        <v>9.6303112540000002E-11</v>
      </c>
      <c r="X53" s="1">
        <v>2.6006417819999999E-11</v>
      </c>
      <c r="Y53" s="1">
        <f t="shared" si="5"/>
        <v>1.333715405044548E-7</v>
      </c>
      <c r="Z53" s="1">
        <f t="shared" si="6"/>
        <v>0.96025608561734055</v>
      </c>
      <c r="AA53" s="1">
        <f t="shared" si="9"/>
        <v>0.96421405089786516</v>
      </c>
      <c r="AB53" s="9">
        <f t="shared" si="7"/>
        <v>-3.644196451996267E-2</v>
      </c>
      <c r="AC53" s="9">
        <f t="shared" si="8"/>
        <v>-3.7957725836246095</v>
      </c>
    </row>
    <row r="54" spans="1:29" x14ac:dyDescent="0.3">
      <c r="P54">
        <v>-181</v>
      </c>
      <c r="Q54" s="1">
        <v>9.4476253759999997E-3</v>
      </c>
      <c r="R54" s="1">
        <v>5.0857296510000002E-4</v>
      </c>
      <c r="S54" s="1">
        <v>2.1695732589999999E-2</v>
      </c>
      <c r="T54" s="1">
        <v>2.598424381E-3</v>
      </c>
      <c r="U54" s="1">
        <v>7.42</v>
      </c>
      <c r="V54" s="1">
        <v>2.084962999</v>
      </c>
      <c r="W54" s="1">
        <v>9.0444647360000002E-11</v>
      </c>
      <c r="X54" s="1">
        <v>2.465733047E-11</v>
      </c>
      <c r="Y54" s="1">
        <f t="shared" si="5"/>
        <v>1.2434626378574376E-7</v>
      </c>
      <c r="Z54" s="1">
        <f t="shared" si="6"/>
        <v>0.89527537938313984</v>
      </c>
      <c r="AA54" s="1">
        <f t="shared" si="9"/>
        <v>0.89923334466366445</v>
      </c>
      <c r="AB54" s="9">
        <f t="shared" si="7"/>
        <v>-0.10621271794165781</v>
      </c>
      <c r="AC54" s="9">
        <f t="shared" si="8"/>
        <v>-3.8306396926135311</v>
      </c>
    </row>
    <row r="55" spans="1:29" x14ac:dyDescent="0.3">
      <c r="P55">
        <v>-178</v>
      </c>
      <c r="Q55" s="1">
        <v>9.3726543149999994E-3</v>
      </c>
      <c r="R55" s="1">
        <v>4.6332252489999999E-4</v>
      </c>
      <c r="S55" s="1">
        <v>2.1674047799999999E-2</v>
      </c>
      <c r="T55" s="1">
        <v>2.879066214E-3</v>
      </c>
      <c r="U55" s="1">
        <v>7.49</v>
      </c>
      <c r="V55" s="1">
        <v>2.0961484640000001</v>
      </c>
      <c r="W55" s="1">
        <v>9.5594580910000001E-11</v>
      </c>
      <c r="X55" s="1">
        <v>2.7855694070000001E-11</v>
      </c>
      <c r="Y55" s="1">
        <f t="shared" si="5"/>
        <v>1.3305960941669676E-7</v>
      </c>
      <c r="Z55" s="1">
        <f t="shared" si="6"/>
        <v>0.95801022623699639</v>
      </c>
      <c r="AA55" s="1">
        <f t="shared" si="9"/>
        <v>0.961968191517521</v>
      </c>
      <c r="AB55" s="9">
        <f t="shared" si="7"/>
        <v>-3.8773893813689966E-2</v>
      </c>
      <c r="AC55" s="9">
        <f t="shared" si="8"/>
        <v>-3.8316396880763648</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7"/>
  <sheetViews>
    <sheetView workbookViewId="0">
      <selection activeCell="M5" sqref="M5"/>
    </sheetView>
  </sheetViews>
  <sheetFormatPr defaultRowHeight="14.4" x14ac:dyDescent="0.3"/>
  <cols>
    <col min="2" max="2" width="15.6640625" bestFit="1" customWidth="1"/>
    <col min="4" max="4" width="13.6640625" bestFit="1" customWidth="1"/>
    <col min="6" max="6" width="12" bestFit="1" customWidth="1"/>
    <col min="8" max="8" width="11.6640625" bestFit="1" customWidth="1"/>
    <col min="9" max="9" width="13.88671875" bestFit="1" customWidth="1"/>
    <col min="10" max="10" width="12.77734375" bestFit="1" customWidth="1"/>
  </cols>
  <sheetData>
    <row r="1" spans="1:11" x14ac:dyDescent="0.3">
      <c r="A1" t="s">
        <v>169</v>
      </c>
      <c r="B1">
        <v>56853</v>
      </c>
      <c r="E1" t="s">
        <v>170</v>
      </c>
      <c r="J1" t="s">
        <v>65</v>
      </c>
    </row>
    <row r="2" spans="1:11" x14ac:dyDescent="0.3">
      <c r="A2" t="s">
        <v>171</v>
      </c>
      <c r="B2">
        <v>1</v>
      </c>
      <c r="E2" t="s">
        <v>172</v>
      </c>
      <c r="F2">
        <v>1002</v>
      </c>
      <c r="J2" t="s">
        <v>173</v>
      </c>
      <c r="K2" s="1">
        <v>4074.9868687274279</v>
      </c>
    </row>
    <row r="3" spans="1:11" x14ac:dyDescent="0.3">
      <c r="A3" t="s">
        <v>174</v>
      </c>
      <c r="B3" t="s">
        <v>175</v>
      </c>
      <c r="E3" t="s">
        <v>176</v>
      </c>
      <c r="J3" t="s">
        <v>177</v>
      </c>
      <c r="K3" s="1">
        <v>6.7816163580300657</v>
      </c>
    </row>
    <row r="4" spans="1:11" x14ac:dyDescent="0.3">
      <c r="A4" t="s">
        <v>178</v>
      </c>
      <c r="B4" s="55">
        <v>43187.684328703705</v>
      </c>
      <c r="C4" s="55"/>
      <c r="D4" s="55"/>
      <c r="E4">
        <v>0</v>
      </c>
      <c r="F4" t="s">
        <v>179</v>
      </c>
      <c r="G4">
        <f>SUM(F6:F138)</f>
        <v>5369135.5517764604</v>
      </c>
      <c r="J4" t="s">
        <v>180</v>
      </c>
      <c r="K4" s="1">
        <v>1.4293860066984394</v>
      </c>
    </row>
    <row r="5" spans="1:11" x14ac:dyDescent="0.3">
      <c r="A5" t="s">
        <v>181</v>
      </c>
      <c r="B5" t="s">
        <v>182</v>
      </c>
      <c r="C5" t="s">
        <v>183</v>
      </c>
      <c r="D5" t="s">
        <v>184</v>
      </c>
      <c r="E5" t="s">
        <v>63</v>
      </c>
      <c r="F5" t="s">
        <v>17</v>
      </c>
      <c r="J5" t="s">
        <v>185</v>
      </c>
      <c r="K5" s="1">
        <v>173.89885649429496</v>
      </c>
    </row>
    <row r="6" spans="1:11" x14ac:dyDescent="0.3">
      <c r="A6" s="1">
        <v>9.7020000000000005E-7</v>
      </c>
      <c r="B6" s="1">
        <v>9.6594400000000005E-5</v>
      </c>
      <c r="C6" s="1">
        <f>(A6*1000000000)-970</f>
        <v>0.20000000000004547</v>
      </c>
      <c r="D6" s="1">
        <f>B6*1000000</f>
        <v>96.594400000000007</v>
      </c>
      <c r="E6" s="1">
        <f>$K$2*EXP(-(((C6-$K$3)^2)/(2*($K$4^2))))+$K$5</f>
        <v>174.00031405680315</v>
      </c>
      <c r="F6">
        <f>(D6-E6)^2</f>
        <v>5991.6755309691944</v>
      </c>
    </row>
    <row r="7" spans="1:11" ht="23.4" x14ac:dyDescent="0.45">
      <c r="A7" s="1">
        <v>9.7030000000000005E-7</v>
      </c>
      <c r="B7">
        <v>1.24077E-4</v>
      </c>
      <c r="C7" s="1">
        <f t="shared" ref="C7:C70" si="0">(A7*1000000000)-970</f>
        <v>0.30000000000006821</v>
      </c>
      <c r="D7" s="1">
        <f t="shared" ref="D7:D70" si="1">B7*1000000</f>
        <v>124.077</v>
      </c>
      <c r="E7" s="1">
        <f t="shared" ref="E7:E70" si="2">$K$2*EXP(-(((C7-$K$3)^2)/(2*($K$4^2))))+$K$5</f>
        <v>174.03853244949516</v>
      </c>
      <c r="F7">
        <f t="shared" ref="F7:F70" si="3">(D7-E7)^2</f>
        <v>2496.1547247019585</v>
      </c>
      <c r="H7" s="56" t="s">
        <v>186</v>
      </c>
      <c r="I7" s="57">
        <f>K4*2.35482</f>
        <v>3.3659467562936194</v>
      </c>
      <c r="J7" s="56" t="s">
        <v>187</v>
      </c>
    </row>
    <row r="8" spans="1:11" x14ac:dyDescent="0.3">
      <c r="A8" s="1">
        <v>9.7040000000000006E-7</v>
      </c>
      <c r="B8">
        <v>1.3903099999999999E-4</v>
      </c>
      <c r="C8" s="1">
        <f t="shared" si="0"/>
        <v>0.40000000000009095</v>
      </c>
      <c r="D8" s="1">
        <f t="shared" si="1"/>
        <v>139.03099999999998</v>
      </c>
      <c r="E8" s="1">
        <f t="shared" si="2"/>
        <v>174.0902086052389</v>
      </c>
      <c r="F8">
        <f t="shared" si="3"/>
        <v>1229.148108025659</v>
      </c>
    </row>
    <row r="9" spans="1:11" x14ac:dyDescent="0.3">
      <c r="A9" s="1">
        <v>9.7050000000000007E-7</v>
      </c>
      <c r="B9">
        <v>1.0912300000000001E-4</v>
      </c>
      <c r="C9" s="1">
        <f t="shared" si="0"/>
        <v>0.50000000000011369</v>
      </c>
      <c r="D9" s="1">
        <f t="shared" si="1"/>
        <v>109.123</v>
      </c>
      <c r="E9" s="1">
        <f t="shared" si="2"/>
        <v>174.15972355627446</v>
      </c>
      <c r="F9">
        <f t="shared" si="3"/>
        <v>4229.7754109352645</v>
      </c>
    </row>
    <row r="10" spans="1:11" x14ac:dyDescent="0.3">
      <c r="A10" s="1">
        <v>9.7060000000000008E-7</v>
      </c>
      <c r="B10" s="1">
        <v>7.5173900000000002E-5</v>
      </c>
      <c r="C10" s="1">
        <f t="shared" si="0"/>
        <v>0.60000000000002274</v>
      </c>
      <c r="D10" s="1">
        <f t="shared" si="1"/>
        <v>75.173900000000003</v>
      </c>
      <c r="E10" s="1">
        <f t="shared" si="2"/>
        <v>174.25275572463406</v>
      </c>
      <c r="F10">
        <f t="shared" si="3"/>
        <v>9816.6196517028493</v>
      </c>
    </row>
    <row r="11" spans="1:11" x14ac:dyDescent="0.3">
      <c r="A11" s="1">
        <v>9.7070000000000008E-7</v>
      </c>
      <c r="B11" s="1">
        <v>6.5474000000000004E-5</v>
      </c>
      <c r="C11" s="1">
        <f t="shared" si="0"/>
        <v>0.70000000000004547</v>
      </c>
      <c r="D11" s="1">
        <f t="shared" si="1"/>
        <v>65.474000000000004</v>
      </c>
      <c r="E11" s="1">
        <f t="shared" si="2"/>
        <v>174.37662153826926</v>
      </c>
      <c r="F11">
        <f t="shared" si="3"/>
        <v>11859.780977907507</v>
      </c>
    </row>
    <row r="12" spans="1:11" x14ac:dyDescent="0.3">
      <c r="A12" s="1">
        <v>9.7080000000000009E-7</v>
      </c>
      <c r="B12" s="1">
        <v>9.5381899999999996E-5</v>
      </c>
      <c r="C12" s="1">
        <f t="shared" si="0"/>
        <v>0.80000000000006821</v>
      </c>
      <c r="D12" s="1">
        <f t="shared" si="1"/>
        <v>95.381900000000002</v>
      </c>
      <c r="E12" s="1">
        <f t="shared" si="2"/>
        <v>174.54069165671393</v>
      </c>
      <c r="F12">
        <f t="shared" si="3"/>
        <v>6266.1142965510426</v>
      </c>
    </row>
    <row r="13" spans="1:11" x14ac:dyDescent="0.3">
      <c r="A13" s="1">
        <v>9.709000000000001E-7</v>
      </c>
      <c r="B13">
        <v>1.4630599999999999E-4</v>
      </c>
      <c r="C13" s="1">
        <f t="shared" si="0"/>
        <v>0.90000000000009095</v>
      </c>
      <c r="D13" s="1">
        <f t="shared" si="1"/>
        <v>146.30599999999998</v>
      </c>
      <c r="E13" s="1">
        <f t="shared" si="2"/>
        <v>174.75689548324138</v>
      </c>
      <c r="F13">
        <f t="shared" si="3"/>
        <v>809.45345379832565</v>
      </c>
    </row>
    <row r="14" spans="1:11" x14ac:dyDescent="0.3">
      <c r="A14" s="1">
        <v>9.7100000000000011E-7</v>
      </c>
      <c r="B14">
        <v>1.4509399999999999E-4</v>
      </c>
      <c r="C14" s="1">
        <f t="shared" si="0"/>
        <v>1.0000000000001137</v>
      </c>
      <c r="D14" s="1">
        <f t="shared" si="1"/>
        <v>145.09399999999999</v>
      </c>
      <c r="E14" s="1">
        <f t="shared" si="2"/>
        <v>175.04032759545436</v>
      </c>
      <c r="F14">
        <f t="shared" si="3"/>
        <v>896.78253645427151</v>
      </c>
    </row>
    <row r="15" spans="1:11" x14ac:dyDescent="0.3">
      <c r="A15" s="1">
        <v>9.710999999999999E-7</v>
      </c>
      <c r="B15">
        <v>1.02657E-4</v>
      </c>
      <c r="C15" s="1">
        <f t="shared" si="0"/>
        <v>1.0999999999999091</v>
      </c>
      <c r="D15" s="1">
        <f t="shared" si="1"/>
        <v>102.657</v>
      </c>
      <c r="E15" s="1">
        <f t="shared" si="2"/>
        <v>175.40997039631674</v>
      </c>
      <c r="F15">
        <f t="shared" si="3"/>
        <v>5292.9947014873396</v>
      </c>
    </row>
    <row r="16" spans="1:11" x14ac:dyDescent="0.3">
      <c r="A16" s="1">
        <v>9.7119999999999991E-7</v>
      </c>
      <c r="B16" s="1">
        <v>8.2448799999999996E-5</v>
      </c>
      <c r="C16" s="1">
        <f t="shared" si="0"/>
        <v>1.1999999999999318</v>
      </c>
      <c r="D16" s="1">
        <f t="shared" si="1"/>
        <v>82.448799999999991</v>
      </c>
      <c r="E16" s="1">
        <f t="shared" si="2"/>
        <v>175.88954754033603</v>
      </c>
      <c r="F16">
        <f t="shared" si="3"/>
        <v>8731.1733008968149</v>
      </c>
    </row>
    <row r="17" spans="1:6" x14ac:dyDescent="0.3">
      <c r="A17" s="1">
        <v>9.7129999999999992E-7</v>
      </c>
      <c r="B17" s="1">
        <v>6.1836599999999997E-5</v>
      </c>
      <c r="C17" s="1">
        <f t="shared" si="0"/>
        <v>1.2999999999999545</v>
      </c>
      <c r="D17" s="1">
        <f t="shared" si="1"/>
        <v>61.836599999999997</v>
      </c>
      <c r="E17" s="1">
        <f t="shared" si="2"/>
        <v>176.50852237072368</v>
      </c>
      <c r="F17">
        <f t="shared" si="3"/>
        <v>13149.649780197278</v>
      </c>
    </row>
    <row r="18" spans="1:6" x14ac:dyDescent="0.3">
      <c r="A18" s="1">
        <v>9.7139999999999992E-7</v>
      </c>
      <c r="B18" s="1">
        <v>5.4561700000000003E-5</v>
      </c>
      <c r="C18" s="1">
        <f t="shared" si="0"/>
        <v>1.3999999999999773</v>
      </c>
      <c r="D18" s="1">
        <f t="shared" si="1"/>
        <v>54.561700000000002</v>
      </c>
      <c r="E18" s="1">
        <f t="shared" si="2"/>
        <v>177.30325453924414</v>
      </c>
      <c r="F18">
        <f t="shared" si="3"/>
        <v>15065.489210710242</v>
      </c>
    </row>
    <row r="19" spans="1:6" x14ac:dyDescent="0.3">
      <c r="A19" s="1">
        <v>9.7149999999999993E-7</v>
      </c>
      <c r="B19" s="1">
        <v>9.0936199999999999E-5</v>
      </c>
      <c r="C19" s="1">
        <f t="shared" si="0"/>
        <v>1.4999999999998863</v>
      </c>
      <c r="D19" s="1">
        <f t="shared" si="1"/>
        <v>90.936199999999999</v>
      </c>
      <c r="E19" s="1">
        <f t="shared" si="2"/>
        <v>178.31832598200717</v>
      </c>
      <c r="F19">
        <f t="shared" si="3"/>
        <v>7635.6359411353724</v>
      </c>
    </row>
    <row r="20" spans="1:6" x14ac:dyDescent="0.3">
      <c r="A20" s="1">
        <v>9.7159999999999994E-7</v>
      </c>
      <c r="B20">
        <v>1.0306099999999999E-4</v>
      </c>
      <c r="C20" s="1">
        <f t="shared" si="0"/>
        <v>1.5999999999999091</v>
      </c>
      <c r="D20" s="1">
        <f t="shared" si="1"/>
        <v>103.06099999999999</v>
      </c>
      <c r="E20" s="1">
        <f t="shared" si="2"/>
        <v>179.60804429415415</v>
      </c>
      <c r="F20">
        <f t="shared" si="3"/>
        <v>5859.4499901711988</v>
      </c>
    </row>
    <row r="21" spans="1:6" x14ac:dyDescent="0.3">
      <c r="A21" s="1">
        <v>9.7169999999999995E-7</v>
      </c>
      <c r="B21" s="1">
        <v>9.2148600000000001E-5</v>
      </c>
      <c r="C21" s="1">
        <f t="shared" si="0"/>
        <v>1.6999999999999318</v>
      </c>
      <c r="D21" s="1">
        <f t="shared" si="1"/>
        <v>92.148600000000002</v>
      </c>
      <c r="E21" s="1">
        <f t="shared" si="2"/>
        <v>181.23812708729645</v>
      </c>
      <c r="F21">
        <f t="shared" si="3"/>
        <v>7936.9438366381273</v>
      </c>
    </row>
    <row r="22" spans="1:6" x14ac:dyDescent="0.3">
      <c r="A22" s="1">
        <v>9.7179999999999995E-7</v>
      </c>
      <c r="B22" s="1">
        <v>9.6190300000000006E-5</v>
      </c>
      <c r="C22" s="1">
        <f t="shared" si="0"/>
        <v>1.7999999999999545</v>
      </c>
      <c r="D22" s="1">
        <f t="shared" si="1"/>
        <v>96.190300000000008</v>
      </c>
      <c r="E22" s="1">
        <f t="shared" si="2"/>
        <v>183.28756494206405</v>
      </c>
      <c r="F22">
        <f t="shared" si="3"/>
        <v>7585.9335603880982</v>
      </c>
    </row>
    <row r="23" spans="1:6" x14ac:dyDescent="0.3">
      <c r="A23" s="1">
        <v>9.7189999999999996E-7</v>
      </c>
      <c r="B23">
        <v>1.0912300000000001E-4</v>
      </c>
      <c r="C23" s="1">
        <f t="shared" si="0"/>
        <v>1.8999999999999773</v>
      </c>
      <c r="D23" s="1">
        <f t="shared" si="1"/>
        <v>109.123</v>
      </c>
      <c r="E23" s="1">
        <f t="shared" si="2"/>
        <v>185.85065292866224</v>
      </c>
      <c r="F23">
        <f t="shared" si="3"/>
        <v>5887.1327239412512</v>
      </c>
    </row>
    <row r="24" spans="1:6" x14ac:dyDescent="0.3">
      <c r="A24" s="1">
        <v>9.7199999999999997E-7</v>
      </c>
      <c r="B24">
        <v>1.18823E-4</v>
      </c>
      <c r="C24" s="1">
        <f t="shared" si="0"/>
        <v>2</v>
      </c>
      <c r="D24" s="1">
        <f t="shared" si="1"/>
        <v>118.82299999999999</v>
      </c>
      <c r="E24" s="1">
        <f t="shared" si="2"/>
        <v>189.03917125194928</v>
      </c>
      <c r="F24">
        <f t="shared" si="3"/>
        <v>4930.3107052830701</v>
      </c>
    </row>
    <row r="25" spans="1:6" x14ac:dyDescent="0.3">
      <c r="A25" s="1">
        <v>9.7209999999999998E-7</v>
      </c>
      <c r="B25">
        <v>1.0912300000000001E-4</v>
      </c>
      <c r="C25" s="1">
        <f t="shared" si="0"/>
        <v>2.1000000000000227</v>
      </c>
      <c r="D25" s="1">
        <f t="shared" si="1"/>
        <v>109.123</v>
      </c>
      <c r="E25" s="1">
        <f t="shared" si="2"/>
        <v>192.98468434159125</v>
      </c>
      <c r="F25">
        <f t="shared" si="3"/>
        <v>7032.7821006086897</v>
      </c>
    </row>
    <row r="26" spans="1:6" x14ac:dyDescent="0.3">
      <c r="A26" s="1">
        <v>9.7219999999999998E-7</v>
      </c>
      <c r="B26">
        <v>1.0589E-4</v>
      </c>
      <c r="C26" s="1">
        <f t="shared" si="0"/>
        <v>2.1999999999999318</v>
      </c>
      <c r="D26" s="1">
        <f t="shared" si="1"/>
        <v>105.89</v>
      </c>
      <c r="E26" s="1">
        <f t="shared" si="2"/>
        <v>197.84091469801152</v>
      </c>
      <c r="F26">
        <f t="shared" si="3"/>
        <v>8454.9707138009908</v>
      </c>
    </row>
    <row r="27" spans="1:6" x14ac:dyDescent="0.3">
      <c r="A27" s="1">
        <v>9.7229999999999999E-7</v>
      </c>
      <c r="B27">
        <v>1.2367300000000001E-4</v>
      </c>
      <c r="C27" s="1">
        <f t="shared" si="0"/>
        <v>2.2999999999999545</v>
      </c>
      <c r="D27" s="1">
        <f t="shared" si="1"/>
        <v>123.673</v>
      </c>
      <c r="E27" s="1">
        <f t="shared" si="2"/>
        <v>203.78613317709377</v>
      </c>
      <c r="F27">
        <f t="shared" si="3"/>
        <v>6418.1141074507632</v>
      </c>
    </row>
    <row r="28" spans="1:6" x14ac:dyDescent="0.3">
      <c r="A28" s="1">
        <v>9.724E-7</v>
      </c>
      <c r="B28">
        <v>1.3054399999999999E-4</v>
      </c>
      <c r="C28" s="1">
        <f t="shared" si="0"/>
        <v>2.3999999999999773</v>
      </c>
      <c r="D28" s="1">
        <f t="shared" si="1"/>
        <v>130.54399999999998</v>
      </c>
      <c r="E28" s="1">
        <f t="shared" si="2"/>
        <v>211.02549143775454</v>
      </c>
      <c r="F28">
        <f t="shared" si="3"/>
        <v>6477.2704640453603</v>
      </c>
    </row>
    <row r="29" spans="1:6" x14ac:dyDescent="0.3">
      <c r="A29" s="1">
        <v>9.7250000000000001E-7</v>
      </c>
      <c r="B29">
        <v>1.24077E-4</v>
      </c>
      <c r="C29" s="1">
        <f t="shared" si="0"/>
        <v>2.5</v>
      </c>
      <c r="D29" s="1">
        <f t="shared" si="1"/>
        <v>124.077</v>
      </c>
      <c r="E29" s="1">
        <f t="shared" si="2"/>
        <v>219.79320542314753</v>
      </c>
      <c r="F29">
        <f t="shared" si="3"/>
        <v>9161.5919806061756</v>
      </c>
    </row>
    <row r="30" spans="1:6" x14ac:dyDescent="0.3">
      <c r="A30" s="1">
        <v>9.7260000000000001E-7</v>
      </c>
      <c r="B30">
        <v>1.17611E-4</v>
      </c>
      <c r="C30" s="1">
        <f t="shared" si="0"/>
        <v>2.6000000000000227</v>
      </c>
      <c r="D30" s="1">
        <f t="shared" si="1"/>
        <v>117.61099999999999</v>
      </c>
      <c r="E30" s="1">
        <f t="shared" si="2"/>
        <v>230.35448159576669</v>
      </c>
      <c r="F30">
        <f t="shared" si="3"/>
        <v>12711.092642334983</v>
      </c>
    </row>
    <row r="31" spans="1:6" x14ac:dyDescent="0.3">
      <c r="A31" s="1">
        <v>9.7270000000000002E-7</v>
      </c>
      <c r="B31">
        <v>1.11548E-4</v>
      </c>
      <c r="C31" s="1">
        <f t="shared" si="0"/>
        <v>2.7000000000000455</v>
      </c>
      <c r="D31" s="1">
        <f t="shared" si="1"/>
        <v>111.548</v>
      </c>
      <c r="E31" s="1">
        <f t="shared" si="2"/>
        <v>243.00706096546483</v>
      </c>
      <c r="F31">
        <f t="shared" si="3"/>
        <v>17281.484709921799</v>
      </c>
    </row>
    <row r="32" spans="1:6" x14ac:dyDescent="0.3">
      <c r="A32" s="1">
        <v>9.7280000000000003E-7</v>
      </c>
      <c r="B32">
        <v>1.1074E-4</v>
      </c>
      <c r="C32" s="1">
        <f t="shared" si="0"/>
        <v>2.8000000000000682</v>
      </c>
      <c r="D32" s="1">
        <f t="shared" si="1"/>
        <v>110.74</v>
      </c>
      <c r="E32" s="1">
        <f t="shared" si="2"/>
        <v>258.08224066647068</v>
      </c>
      <c r="F32">
        <f t="shared" si="3"/>
        <v>21709.735884616162</v>
      </c>
    </row>
    <row r="33" spans="1:6" x14ac:dyDescent="0.3">
      <c r="A33" s="1">
        <v>9.7290000000000004E-7</v>
      </c>
      <c r="B33">
        <v>1.17207E-4</v>
      </c>
      <c r="C33" s="1">
        <f t="shared" si="0"/>
        <v>2.9000000000000909</v>
      </c>
      <c r="D33" s="1">
        <f t="shared" si="1"/>
        <v>117.20700000000001</v>
      </c>
      <c r="E33" s="1">
        <f t="shared" si="2"/>
        <v>275.94522003294458</v>
      </c>
      <c r="F33">
        <f t="shared" si="3"/>
        <v>25197.822499227528</v>
      </c>
    </row>
    <row r="34" spans="1:6" x14ac:dyDescent="0.3">
      <c r="A34" s="1">
        <v>9.7300000000000004E-7</v>
      </c>
      <c r="B34">
        <v>1.2650199999999999E-4</v>
      </c>
      <c r="C34" s="1">
        <f t="shared" si="0"/>
        <v>3</v>
      </c>
      <c r="D34" s="1">
        <f t="shared" si="1"/>
        <v>126.502</v>
      </c>
      <c r="E34" s="1">
        <f t="shared" si="2"/>
        <v>296.99460898989207</v>
      </c>
      <c r="F34">
        <f t="shared" si="3"/>
        <v>29067.729720180225</v>
      </c>
    </row>
    <row r="35" spans="1:6" x14ac:dyDescent="0.3">
      <c r="A35" s="1">
        <v>9.7310000000000005E-7</v>
      </c>
      <c r="B35">
        <v>1.24886E-4</v>
      </c>
      <c r="C35" s="1">
        <f t="shared" si="0"/>
        <v>3.1000000000000227</v>
      </c>
      <c r="D35" s="1">
        <f t="shared" si="1"/>
        <v>124.886</v>
      </c>
      <c r="E35" s="1">
        <f t="shared" si="2"/>
        <v>321.66093239139843</v>
      </c>
      <c r="F35">
        <f t="shared" si="3"/>
        <v>38720.374017639428</v>
      </c>
    </row>
    <row r="36" spans="1:6" x14ac:dyDescent="0.3">
      <c r="A36" s="1">
        <v>9.7320000000000006E-7</v>
      </c>
      <c r="B36">
        <v>1.2246100000000001E-4</v>
      </c>
      <c r="C36" s="1">
        <f t="shared" si="0"/>
        <v>3.2000000000000455</v>
      </c>
      <c r="D36" s="1">
        <f t="shared" si="1"/>
        <v>122.461</v>
      </c>
      <c r="E36" s="1">
        <f t="shared" si="2"/>
        <v>350.40396599230007</v>
      </c>
      <c r="F36">
        <f t="shared" si="3"/>
        <v>51957.995745366861</v>
      </c>
    </row>
    <row r="37" spans="1:6" x14ac:dyDescent="0.3">
      <c r="A37" s="1">
        <v>9.7330000000000007E-7</v>
      </c>
      <c r="B37">
        <v>1.3822300000000001E-4</v>
      </c>
      <c r="C37" s="1">
        <f t="shared" si="0"/>
        <v>3.3000000000000682</v>
      </c>
      <c r="D37" s="1">
        <f t="shared" si="1"/>
        <v>138.22300000000001</v>
      </c>
      <c r="E37" s="1">
        <f t="shared" si="2"/>
        <v>383.70874927263236</v>
      </c>
      <c r="F37">
        <f t="shared" si="3"/>
        <v>60263.253095945714</v>
      </c>
    </row>
    <row r="38" spans="1:6" x14ac:dyDescent="0.3">
      <c r="A38" s="1">
        <v>9.7340000000000007E-7</v>
      </c>
      <c r="B38">
        <v>1.47923E-4</v>
      </c>
      <c r="C38" s="1">
        <f t="shared" si="0"/>
        <v>3.4000000000000909</v>
      </c>
      <c r="D38" s="1">
        <f t="shared" si="1"/>
        <v>147.923</v>
      </c>
      <c r="E38" s="1">
        <f t="shared" si="2"/>
        <v>422.08013844301303</v>
      </c>
      <c r="F38">
        <f t="shared" si="3"/>
        <v>75162.136559261417</v>
      </c>
    </row>
    <row r="39" spans="1:6" x14ac:dyDescent="0.3">
      <c r="A39" s="1">
        <v>9.7350000000000008E-7</v>
      </c>
      <c r="B39">
        <v>1.54389E-4</v>
      </c>
      <c r="C39" s="1">
        <f t="shared" si="0"/>
        <v>3.5000000000001137</v>
      </c>
      <c r="D39" s="1">
        <f t="shared" si="1"/>
        <v>154.38900000000001</v>
      </c>
      <c r="E39" s="1">
        <f t="shared" si="2"/>
        <v>466.03579051420445</v>
      </c>
      <c r="F39">
        <f t="shared" si="3"/>
        <v>97123.722037804429</v>
      </c>
    </row>
    <row r="40" spans="1:6" x14ac:dyDescent="0.3">
      <c r="A40" s="1">
        <v>9.7360000000000009E-7</v>
      </c>
      <c r="B40">
        <v>1.7742699999999999E-4</v>
      </c>
      <c r="C40" s="1">
        <f t="shared" si="0"/>
        <v>3.6000000000001364</v>
      </c>
      <c r="D40" s="1">
        <f t="shared" si="1"/>
        <v>177.42699999999999</v>
      </c>
      <c r="E40" s="1">
        <f t="shared" si="2"/>
        <v>516.09750685162578</v>
      </c>
      <c r="F40">
        <f t="shared" si="3"/>
        <v>114697.71221113708</v>
      </c>
    </row>
    <row r="41" spans="1:6" x14ac:dyDescent="0.3">
      <c r="A41" s="1">
        <v>9.737000000000001E-7</v>
      </c>
      <c r="B41">
        <v>1.9803900000000001E-4</v>
      </c>
      <c r="C41" s="1">
        <f t="shared" si="0"/>
        <v>3.7000000000000455</v>
      </c>
      <c r="D41" s="1">
        <f t="shared" si="1"/>
        <v>198.03900000000002</v>
      </c>
      <c r="E41" s="1">
        <f t="shared" si="2"/>
        <v>572.78091226865706</v>
      </c>
      <c r="F41">
        <f t="shared" si="3"/>
        <v>140431.50081076988</v>
      </c>
    </row>
    <row r="42" spans="1:6" x14ac:dyDescent="0.3">
      <c r="A42" s="1">
        <v>9.738000000000001E-7</v>
      </c>
      <c r="B42">
        <v>2.2592599999999999E-4</v>
      </c>
      <c r="C42" s="1">
        <f t="shared" si="0"/>
        <v>3.8000000000000682</v>
      </c>
      <c r="D42" s="1">
        <f t="shared" si="1"/>
        <v>225.92599999999999</v>
      </c>
      <c r="E42" s="1">
        <f t="shared" si="2"/>
        <v>636.58350304043927</v>
      </c>
      <c r="F42">
        <f t="shared" si="3"/>
        <v>168639.58480340839</v>
      </c>
    </row>
    <row r="43" spans="1:6" x14ac:dyDescent="0.3">
      <c r="A43" s="1">
        <v>9.738999999999999E-7</v>
      </c>
      <c r="B43">
        <v>2.79275E-4</v>
      </c>
      <c r="C43" s="1">
        <f t="shared" si="0"/>
        <v>3.8999999999998636</v>
      </c>
      <c r="D43" s="1">
        <f t="shared" si="1"/>
        <v>279.27499999999998</v>
      </c>
      <c r="E43" s="1">
        <f t="shared" si="2"/>
        <v>707.97116325371564</v>
      </c>
      <c r="F43">
        <f t="shared" si="3"/>
        <v>183780.40038845644</v>
      </c>
    </row>
    <row r="44" spans="1:6" x14ac:dyDescent="0.3">
      <c r="A44" s="1">
        <v>9.7399999999999991E-7</v>
      </c>
      <c r="B44">
        <v>3.5929899999999999E-4</v>
      </c>
      <c r="C44" s="1">
        <f t="shared" si="0"/>
        <v>3.9999999999998863</v>
      </c>
      <c r="D44" s="1">
        <f t="shared" si="1"/>
        <v>359.29899999999998</v>
      </c>
      <c r="E44" s="1">
        <f t="shared" si="2"/>
        <v>787.36332203610391</v>
      </c>
      <c r="F44">
        <f t="shared" si="3"/>
        <v>183239.06380022928</v>
      </c>
    </row>
    <row r="45" spans="1:6" x14ac:dyDescent="0.3">
      <c r="A45" s="1">
        <v>9.7409999999999991E-7</v>
      </c>
      <c r="B45">
        <v>4.4942700000000002E-4</v>
      </c>
      <c r="C45" s="1">
        <f t="shared" si="0"/>
        <v>4.0999999999999091</v>
      </c>
      <c r="D45" s="1">
        <f t="shared" si="1"/>
        <v>449.42700000000002</v>
      </c>
      <c r="E45" s="1">
        <f t="shared" si="2"/>
        <v>875.11700214802875</v>
      </c>
      <c r="F45">
        <f t="shared" si="3"/>
        <v>181211.97792878869</v>
      </c>
    </row>
    <row r="46" spans="1:6" x14ac:dyDescent="0.3">
      <c r="A46" s="1">
        <v>9.7419999999999992E-7</v>
      </c>
      <c r="B46">
        <v>5.4157599999999999E-4</v>
      </c>
      <c r="C46" s="1">
        <f t="shared" si="0"/>
        <v>4.1999999999999318</v>
      </c>
      <c r="D46" s="1">
        <f t="shared" si="1"/>
        <v>541.57600000000002</v>
      </c>
      <c r="E46" s="1">
        <f t="shared" si="2"/>
        <v>971.51009029972431</v>
      </c>
      <c r="F46">
        <f t="shared" si="3"/>
        <v>184843.32200185148</v>
      </c>
    </row>
    <row r="47" spans="1:6" x14ac:dyDescent="0.3">
      <c r="A47" s="1">
        <v>9.7429999999999993E-7</v>
      </c>
      <c r="B47">
        <v>6.5959099999999995E-4</v>
      </c>
      <c r="C47" s="1">
        <f t="shared" si="0"/>
        <v>4.2999999999999545</v>
      </c>
      <c r="D47" s="1">
        <f t="shared" si="1"/>
        <v>659.59100000000001</v>
      </c>
      <c r="E47" s="1">
        <f t="shared" si="2"/>
        <v>1076.7242378920498</v>
      </c>
      <c r="F47">
        <f t="shared" si="3"/>
        <v>174000.13815430543</v>
      </c>
    </row>
    <row r="48" spans="1:6" x14ac:dyDescent="0.3">
      <c r="A48" s="1">
        <v>9.7439999999999994E-7</v>
      </c>
      <c r="B48">
        <v>8.2650900000000001E-4</v>
      </c>
      <c r="C48" s="1">
        <f t="shared" si="0"/>
        <v>4.3999999999999773</v>
      </c>
      <c r="D48" s="1">
        <f t="shared" si="1"/>
        <v>826.50900000000001</v>
      </c>
      <c r="E48" s="1">
        <f t="shared" si="2"/>
        <v>1190.8278737884527</v>
      </c>
      <c r="F48">
        <f t="shared" si="3"/>
        <v>132728.24179848653</v>
      </c>
    </row>
    <row r="49" spans="1:6" x14ac:dyDescent="0.3">
      <c r="A49" s="1">
        <v>9.7449999999999994E-7</v>
      </c>
      <c r="B49">
        <v>1.0298E-3</v>
      </c>
      <c r="C49" s="1">
        <f t="shared" si="0"/>
        <v>4.5</v>
      </c>
      <c r="D49" s="1">
        <f t="shared" si="1"/>
        <v>1029.8</v>
      </c>
      <c r="E49" s="1">
        <f t="shared" si="2"/>
        <v>1313.7598739894529</v>
      </c>
      <c r="F49">
        <f t="shared" si="3"/>
        <v>80633.210036106</v>
      </c>
    </row>
    <row r="50" spans="1:6" x14ac:dyDescent="0.3">
      <c r="A50" s="1">
        <v>9.7459999999999995E-7</v>
      </c>
      <c r="B50">
        <v>1.22057E-3</v>
      </c>
      <c r="C50" s="1">
        <f t="shared" si="0"/>
        <v>4.5999999999999091</v>
      </c>
      <c r="D50" s="1">
        <f t="shared" si="1"/>
        <v>1220.57</v>
      </c>
      <c r="E50" s="1">
        <f t="shared" si="2"/>
        <v>1445.3144824050178</v>
      </c>
      <c r="F50">
        <f t="shared" si="3"/>
        <v>50510.082371499368</v>
      </c>
    </row>
    <row r="51" spans="1:6" x14ac:dyDescent="0.3">
      <c r="A51" s="1">
        <v>9.7469999999999996E-7</v>
      </c>
      <c r="B51">
        <v>1.40486E-3</v>
      </c>
      <c r="C51" s="1">
        <f t="shared" si="0"/>
        <v>4.6999999999999318</v>
      </c>
      <c r="D51" s="1">
        <f t="shared" si="1"/>
        <v>1404.86</v>
      </c>
      <c r="E51" s="1">
        <f t="shared" si="2"/>
        <v>1585.1281081362499</v>
      </c>
      <c r="F51">
        <f t="shared" si="3"/>
        <v>32496.590811022732</v>
      </c>
    </row>
    <row r="52" spans="1:6" x14ac:dyDescent="0.3">
      <c r="A52" s="1">
        <v>9.7479999999999997E-7</v>
      </c>
      <c r="B52">
        <v>1.61947E-3</v>
      </c>
      <c r="C52" s="1">
        <f t="shared" si="0"/>
        <v>4.7999999999999545</v>
      </c>
      <c r="D52" s="1">
        <f t="shared" si="1"/>
        <v>1619.47</v>
      </c>
      <c r="E52" s="1">
        <f t="shared" si="2"/>
        <v>1732.6686340005276</v>
      </c>
      <c r="F52">
        <f t="shared" si="3"/>
        <v>12813.930739585401</v>
      </c>
    </row>
    <row r="53" spans="1:6" x14ac:dyDescent="0.3">
      <c r="A53" s="1">
        <v>9.7489999999999997E-7</v>
      </c>
      <c r="B53">
        <v>1.8559099999999999E-3</v>
      </c>
      <c r="C53" s="1">
        <f t="shared" si="0"/>
        <v>4.8999999999999773</v>
      </c>
      <c r="D53" s="1">
        <f t="shared" si="1"/>
        <v>1855.9099999999999</v>
      </c>
      <c r="E53" s="1">
        <f t="shared" si="2"/>
        <v>1887.2278553484425</v>
      </c>
      <c r="F53">
        <f t="shared" si="3"/>
        <v>980.80806362597866</v>
      </c>
    </row>
    <row r="54" spans="1:6" x14ac:dyDescent="0.3">
      <c r="A54" s="1">
        <v>9.7499999999999998E-7</v>
      </c>
      <c r="B54">
        <v>2.0895100000000002E-3</v>
      </c>
      <c r="C54" s="1">
        <f t="shared" si="0"/>
        <v>5</v>
      </c>
      <c r="D54" s="1">
        <f t="shared" si="1"/>
        <v>2089.5100000000002</v>
      </c>
      <c r="E54" s="1">
        <f t="shared" si="2"/>
        <v>2047.9176252888717</v>
      </c>
      <c r="F54">
        <f t="shared" si="3"/>
        <v>1729.9256341109228</v>
      </c>
    </row>
    <row r="55" spans="1:6" x14ac:dyDescent="0.3">
      <c r="A55" s="1">
        <v>9.7509999999999999E-7</v>
      </c>
      <c r="B55">
        <v>2.3186700000000001E-3</v>
      </c>
      <c r="C55" s="1">
        <f t="shared" si="0"/>
        <v>5.1000000000000227</v>
      </c>
      <c r="D55" s="1">
        <f t="shared" si="1"/>
        <v>2318.67</v>
      </c>
      <c r="E55" s="1">
        <f t="shared" si="2"/>
        <v>2213.6702112016665</v>
      </c>
      <c r="F55">
        <f t="shared" si="3"/>
        <v>11024.955647694664</v>
      </c>
    </row>
    <row r="56" spans="1:6" x14ac:dyDescent="0.3">
      <c r="A56" s="1">
        <v>9.752E-7</v>
      </c>
      <c r="B56">
        <v>2.5336899999999999E-3</v>
      </c>
      <c r="C56" s="1">
        <f t="shared" si="0"/>
        <v>5.2000000000000455</v>
      </c>
      <c r="D56" s="1">
        <f t="shared" si="1"/>
        <v>2533.69</v>
      </c>
      <c r="E56" s="1">
        <f t="shared" si="2"/>
        <v>2383.2432681157388</v>
      </c>
      <c r="F56">
        <f t="shared" si="3"/>
        <v>22634.219134654784</v>
      </c>
    </row>
    <row r="57" spans="1:6" x14ac:dyDescent="0.3">
      <c r="A57" s="1">
        <v>9.753E-7</v>
      </c>
      <c r="B57">
        <v>2.7632500000000001E-3</v>
      </c>
      <c r="C57" s="1">
        <f t="shared" si="0"/>
        <v>5.2999999999999545</v>
      </c>
      <c r="D57" s="1">
        <f t="shared" si="1"/>
        <v>2763.25</v>
      </c>
      <c r="E57" s="1">
        <f t="shared" si="2"/>
        <v>2555.2297088790942</v>
      </c>
      <c r="F57">
        <f t="shared" si="3"/>
        <v>43272.44151802639</v>
      </c>
    </row>
    <row r="58" spans="1:6" x14ac:dyDescent="0.3">
      <c r="A58" s="1">
        <v>9.7540000000000001E-7</v>
      </c>
      <c r="B58">
        <v>3.0344399999999998E-3</v>
      </c>
      <c r="C58" s="1">
        <f t="shared" si="0"/>
        <v>5.3999999999999773</v>
      </c>
      <c r="D58" s="1">
        <f t="shared" si="1"/>
        <v>3034.4399999999996</v>
      </c>
      <c r="E58" s="1">
        <f t="shared" si="2"/>
        <v>2728.0726022669169</v>
      </c>
      <c r="F58">
        <f t="shared" si="3"/>
        <v>93860.982393740909</v>
      </c>
    </row>
    <row r="59" spans="1:6" x14ac:dyDescent="0.3">
      <c r="A59" s="1">
        <v>9.7550000000000002E-7</v>
      </c>
      <c r="B59">
        <v>3.28138E-3</v>
      </c>
      <c r="C59" s="1">
        <f t="shared" si="0"/>
        <v>5.5</v>
      </c>
      <c r="D59" s="1">
        <f t="shared" si="1"/>
        <v>3281.38</v>
      </c>
      <c r="E59" s="1">
        <f t="shared" si="2"/>
        <v>2900.0850629519668</v>
      </c>
      <c r="F59">
        <f t="shared" si="3"/>
        <v>145385.82901846364</v>
      </c>
    </row>
    <row r="60" spans="1:6" x14ac:dyDescent="0.3">
      <c r="A60" s="1">
        <v>9.7560000000000003E-7</v>
      </c>
      <c r="B60">
        <v>3.4503200000000002E-3</v>
      </c>
      <c r="C60" s="1">
        <f t="shared" si="0"/>
        <v>5.6000000000000227</v>
      </c>
      <c r="D60" s="1">
        <f t="shared" si="1"/>
        <v>3450.32</v>
      </c>
      <c r="E60" s="1">
        <f t="shared" si="2"/>
        <v>3069.4749176564828</v>
      </c>
      <c r="F60">
        <f t="shared" si="3"/>
        <v>145042.97674524051</v>
      </c>
    </row>
    <row r="61" spans="1:6" x14ac:dyDescent="0.3">
      <c r="A61" s="1">
        <v>9.7570000000000003E-7</v>
      </c>
      <c r="B61">
        <v>3.5788500000000002E-3</v>
      </c>
      <c r="C61" s="1">
        <f t="shared" si="0"/>
        <v>5.7000000000000455</v>
      </c>
      <c r="D61" s="1">
        <f t="shared" si="1"/>
        <v>3578.8500000000004</v>
      </c>
      <c r="E61" s="1">
        <f t="shared" si="2"/>
        <v>3234.3737469595967</v>
      </c>
      <c r="F61">
        <f t="shared" si="3"/>
        <v>118663.88890875621</v>
      </c>
    </row>
    <row r="62" spans="1:6" x14ac:dyDescent="0.3">
      <c r="A62" s="1">
        <v>9.7580000000000004E-7</v>
      </c>
      <c r="B62">
        <v>3.72354E-3</v>
      </c>
      <c r="C62" s="1">
        <f t="shared" si="0"/>
        <v>5.8000000000000682</v>
      </c>
      <c r="D62" s="1">
        <f t="shared" si="1"/>
        <v>3723.54</v>
      </c>
      <c r="E62" s="1">
        <f t="shared" si="2"/>
        <v>3392.8697201605255</v>
      </c>
      <c r="F62">
        <f t="shared" si="3"/>
        <v>109342.83396911636</v>
      </c>
    </row>
    <row r="63" spans="1:6" x14ac:dyDescent="0.3">
      <c r="A63" s="1">
        <v>9.7590000000000005E-7</v>
      </c>
      <c r="B63">
        <v>3.8654000000000002E-3</v>
      </c>
      <c r="C63" s="1">
        <f t="shared" si="0"/>
        <v>5.9000000000000909</v>
      </c>
      <c r="D63" s="1">
        <f t="shared" si="1"/>
        <v>3865.4</v>
      </c>
      <c r="E63" s="1">
        <f t="shared" si="2"/>
        <v>3543.0434697043147</v>
      </c>
      <c r="F63">
        <f t="shared" si="3"/>
        <v>103913.73262427314</v>
      </c>
    </row>
    <row r="64" spans="1:6" x14ac:dyDescent="0.3">
      <c r="A64" s="1">
        <v>9.7600000000000006E-7</v>
      </c>
      <c r="B64">
        <v>3.9599700000000002E-3</v>
      </c>
      <c r="C64" s="1">
        <f t="shared" si="0"/>
        <v>6.0000000000001137</v>
      </c>
      <c r="D64" s="1">
        <f t="shared" si="1"/>
        <v>3959.9700000000003</v>
      </c>
      <c r="E64" s="1">
        <f t="shared" si="2"/>
        <v>3683.006100400316</v>
      </c>
      <c r="F64">
        <f t="shared" si="3"/>
        <v>76709.001681463997</v>
      </c>
    </row>
    <row r="65" spans="1:6" x14ac:dyDescent="0.3">
      <c r="A65" s="1">
        <v>9.7610000000000006E-7</v>
      </c>
      <c r="B65">
        <v>4.0197899999999996E-3</v>
      </c>
      <c r="C65" s="1">
        <f t="shared" si="0"/>
        <v>6.1000000000000227</v>
      </c>
      <c r="D65" s="1">
        <f t="shared" si="1"/>
        <v>4019.7899999999995</v>
      </c>
      <c r="E65" s="1">
        <f t="shared" si="2"/>
        <v>3810.9383049719768</v>
      </c>
      <c r="F65">
        <f t="shared" si="3"/>
        <v>43619.030516078215</v>
      </c>
    </row>
    <row r="66" spans="1:6" x14ac:dyDescent="0.3">
      <c r="A66" s="1">
        <v>9.7620000000000007E-7</v>
      </c>
      <c r="B66">
        <v>4.0787899999999997E-3</v>
      </c>
      <c r="C66" s="1">
        <f t="shared" si="0"/>
        <v>6.2000000000000455</v>
      </c>
      <c r="D66" s="1">
        <f t="shared" si="1"/>
        <v>4078.7899999999995</v>
      </c>
      <c r="E66" s="1">
        <f t="shared" si="2"/>
        <v>3925.1294684171576</v>
      </c>
      <c r="F66">
        <f t="shared" si="3"/>
        <v>23611.558966321565</v>
      </c>
    </row>
    <row r="67" spans="1:6" x14ac:dyDescent="0.3">
      <c r="A67" s="1">
        <v>9.7630000000000008E-7</v>
      </c>
      <c r="B67">
        <v>4.1462900000000004E-3</v>
      </c>
      <c r="C67" s="1">
        <f t="shared" si="0"/>
        <v>6.3000000000000682</v>
      </c>
      <c r="D67" s="1">
        <f t="shared" si="1"/>
        <v>4146.29</v>
      </c>
      <c r="E67" s="1">
        <f t="shared" si="2"/>
        <v>4024.0155949116042</v>
      </c>
      <c r="F67">
        <f t="shared" si="3"/>
        <v>14951.030139721093</v>
      </c>
    </row>
    <row r="68" spans="1:6" x14ac:dyDescent="0.3">
      <c r="A68" s="1">
        <v>9.7640000000000009E-7</v>
      </c>
      <c r="B68">
        <v>4.2036799999999996E-3</v>
      </c>
      <c r="C68" s="1">
        <f t="shared" si="0"/>
        <v>6.4000000000000909</v>
      </c>
      <c r="D68" s="1">
        <f t="shared" si="1"/>
        <v>4203.6799999999994</v>
      </c>
      <c r="E68" s="1">
        <f t="shared" si="2"/>
        <v>4106.2148865144982</v>
      </c>
      <c r="F68">
        <f t="shared" si="3"/>
        <v>9499.4483467416285</v>
      </c>
    </row>
    <row r="69" spans="1:6" x14ac:dyDescent="0.3">
      <c r="A69" s="1">
        <v>9.765000000000001E-7</v>
      </c>
      <c r="B69">
        <v>4.2299499999999997E-3</v>
      </c>
      <c r="C69" s="1">
        <f t="shared" si="0"/>
        <v>6.5000000000001137</v>
      </c>
      <c r="D69" s="1">
        <f t="shared" si="1"/>
        <v>4229.95</v>
      </c>
      <c r="E69" s="1">
        <f t="shared" si="2"/>
        <v>4170.5598446353133</v>
      </c>
      <c r="F69">
        <f t="shared" si="3"/>
        <v>3527.1905542416016</v>
      </c>
    </row>
    <row r="70" spans="1:6" x14ac:dyDescent="0.3">
      <c r="A70" s="1">
        <v>9.766000000000001E-7</v>
      </c>
      <c r="B70">
        <v>4.2323700000000001E-3</v>
      </c>
      <c r="C70" s="1">
        <f t="shared" si="0"/>
        <v>6.6000000000001364</v>
      </c>
      <c r="D70" s="1">
        <f t="shared" si="1"/>
        <v>4232.37</v>
      </c>
      <c r="E70" s="1">
        <f t="shared" si="2"/>
        <v>4216.1248528212091</v>
      </c>
      <c r="F70">
        <f t="shared" si="3"/>
        <v>263.90480686057566</v>
      </c>
    </row>
    <row r="71" spans="1:6" x14ac:dyDescent="0.3">
      <c r="A71" s="1">
        <v>9.766999999999999E-7</v>
      </c>
      <c r="B71">
        <v>4.2267199999999998E-3</v>
      </c>
      <c r="C71" s="1">
        <f t="shared" ref="C71:C134" si="4">(A71*1000000000)-970</f>
        <v>6.6999999999999318</v>
      </c>
      <c r="D71" s="1">
        <f t="shared" ref="D71:D134" si="5">B71*1000000</f>
        <v>4226.7199999999993</v>
      </c>
      <c r="E71" s="1">
        <f t="shared" ref="E71:E134" si="6">$K$2*EXP(-(((C71-$K$3)^2)/(2*($K$4^2))))+$K$5</f>
        <v>4242.2483303479767</v>
      </c>
      <c r="F71">
        <f t="shared" ref="F71:F134" si="7">(D71-E71)^2</f>
        <v>241.12904339591333</v>
      </c>
    </row>
    <row r="72" spans="1:6" x14ac:dyDescent="0.3">
      <c r="A72" s="1">
        <v>9.7679999999999991E-7</v>
      </c>
      <c r="B72">
        <v>4.19236E-3</v>
      </c>
      <c r="C72" s="1">
        <f t="shared" si="4"/>
        <v>6.7999999999999545</v>
      </c>
      <c r="D72" s="1">
        <f t="shared" si="5"/>
        <v>4192.3599999999997</v>
      </c>
      <c r="E72" s="1">
        <f t="shared" si="6"/>
        <v>4248.5487155900082</v>
      </c>
      <c r="F72">
        <f t="shared" si="7"/>
        <v>3157.1717596548688</v>
      </c>
    </row>
    <row r="73" spans="1:6" x14ac:dyDescent="0.3">
      <c r="A73" s="1">
        <v>9.7689999999999991E-7</v>
      </c>
      <c r="B73">
        <v>4.1184000000000004E-3</v>
      </c>
      <c r="C73" s="1">
        <f t="shared" si="4"/>
        <v>6.8999999999998636</v>
      </c>
      <c r="D73" s="1">
        <f t="shared" si="5"/>
        <v>4118.4000000000005</v>
      </c>
      <c r="E73" s="1">
        <f t="shared" si="6"/>
        <v>4234.9337394493577</v>
      </c>
      <c r="F73">
        <f t="shared" si="7"/>
        <v>13580.112430050671</v>
      </c>
    </row>
    <row r="74" spans="1:6" x14ac:dyDescent="0.3">
      <c r="A74" s="1">
        <v>9.7699999999999992E-7</v>
      </c>
      <c r="B74">
        <v>4.0404000000000004E-3</v>
      </c>
      <c r="C74" s="1">
        <f t="shared" si="4"/>
        <v>6.9999999999998863</v>
      </c>
      <c r="D74" s="1">
        <f t="shared" si="5"/>
        <v>4040.4000000000005</v>
      </c>
      <c r="E74" s="1">
        <f t="shared" si="6"/>
        <v>4201.6026738250121</v>
      </c>
      <c r="F74">
        <f t="shared" si="7"/>
        <v>25986.302048333055</v>
      </c>
    </row>
    <row r="75" spans="1:6" x14ac:dyDescent="0.3">
      <c r="A75" s="1">
        <v>9.7709999999999993E-7</v>
      </c>
      <c r="B75">
        <v>3.9668400000000001E-3</v>
      </c>
      <c r="C75" s="1">
        <f t="shared" si="4"/>
        <v>7.0999999999999091</v>
      </c>
      <c r="D75" s="1">
        <f t="shared" si="5"/>
        <v>3966.84</v>
      </c>
      <c r="E75" s="1">
        <f t="shared" si="6"/>
        <v>4149.0414785375133</v>
      </c>
      <c r="F75">
        <f t="shared" si="7"/>
        <v>33197.378781255858</v>
      </c>
    </row>
    <row r="76" spans="1:6" x14ac:dyDescent="0.3">
      <c r="A76" s="1">
        <v>9.7719999999999994E-7</v>
      </c>
      <c r="B76">
        <v>3.8755E-3</v>
      </c>
      <c r="C76" s="1">
        <f t="shared" si="4"/>
        <v>7.1999999999999318</v>
      </c>
      <c r="D76" s="1">
        <f t="shared" si="5"/>
        <v>3875.5</v>
      </c>
      <c r="E76" s="1">
        <f t="shared" si="6"/>
        <v>4078.0110119089486</v>
      </c>
      <c r="F76">
        <f t="shared" si="7"/>
        <v>41010.709944386326</v>
      </c>
    </row>
    <row r="77" spans="1:6" x14ac:dyDescent="0.3">
      <c r="A77" s="1">
        <v>9.7729999999999994E-7</v>
      </c>
      <c r="B77">
        <v>3.7688000000000001E-3</v>
      </c>
      <c r="C77" s="1">
        <f t="shared" si="4"/>
        <v>7.2999999999999545</v>
      </c>
      <c r="D77" s="1">
        <f t="shared" si="5"/>
        <v>3768.8</v>
      </c>
      <c r="E77" s="1">
        <f t="shared" si="6"/>
        <v>3989.5287047640022</v>
      </c>
      <c r="F77">
        <f t="shared" si="7"/>
        <v>48721.161106793974</v>
      </c>
    </row>
    <row r="78" spans="1:6" x14ac:dyDescent="0.3">
      <c r="A78" s="1">
        <v>9.7739999999999995E-7</v>
      </c>
      <c r="B78">
        <v>3.6402800000000001E-3</v>
      </c>
      <c r="C78" s="1">
        <f t="shared" si="4"/>
        <v>7.3999999999999773</v>
      </c>
      <c r="D78" s="1">
        <f t="shared" si="5"/>
        <v>3640.28</v>
      </c>
      <c r="E78" s="1">
        <f t="shared" si="6"/>
        <v>3884.8443147829712</v>
      </c>
      <c r="F78">
        <f t="shared" si="7"/>
        <v>59811.704065264123</v>
      </c>
    </row>
    <row r="79" spans="1:6" x14ac:dyDescent="0.3">
      <c r="A79" s="1">
        <v>9.7749999999999996E-7</v>
      </c>
      <c r="B79">
        <v>3.4992299999999999E-3</v>
      </c>
      <c r="C79" s="1">
        <f t="shared" si="4"/>
        <v>7.5</v>
      </c>
      <c r="D79" s="1">
        <f t="shared" si="5"/>
        <v>3499.23</v>
      </c>
      <c r="E79" s="1">
        <f t="shared" si="6"/>
        <v>3765.410568645103</v>
      </c>
      <c r="F79">
        <f t="shared" si="7"/>
        <v>70852.095124230385</v>
      </c>
    </row>
    <row r="80" spans="1:6" x14ac:dyDescent="0.3">
      <c r="A80" s="1">
        <v>9.7759999999999997E-7</v>
      </c>
      <c r="B80">
        <v>3.3771700000000001E-3</v>
      </c>
      <c r="C80" s="1">
        <f t="shared" si="4"/>
        <v>7.6000000000000227</v>
      </c>
      <c r="D80" s="1">
        <f t="shared" si="5"/>
        <v>3377.17</v>
      </c>
      <c r="E80" s="1">
        <f t="shared" si="6"/>
        <v>3632.8496553978753</v>
      </c>
      <c r="F80">
        <f t="shared" si="7"/>
        <v>65372.08618437621</v>
      </c>
    </row>
    <row r="81" spans="1:6" x14ac:dyDescent="0.3">
      <c r="A81" s="1">
        <v>9.7769999999999997E-7</v>
      </c>
      <c r="B81">
        <v>3.2530900000000001E-3</v>
      </c>
      <c r="C81" s="1">
        <f t="shared" si="4"/>
        <v>7.6999999999999318</v>
      </c>
      <c r="D81" s="1">
        <f t="shared" si="5"/>
        <v>3253.09</v>
      </c>
      <c r="E81" s="1">
        <f t="shared" si="6"/>
        <v>3488.9166499224152</v>
      </c>
      <c r="F81">
        <f t="shared" si="7"/>
        <v>55614.20881362931</v>
      </c>
    </row>
    <row r="82" spans="1:6" x14ac:dyDescent="0.3">
      <c r="A82" s="1">
        <v>9.7779999999999998E-7</v>
      </c>
      <c r="B82">
        <v>3.1265899999999998E-3</v>
      </c>
      <c r="C82" s="1">
        <f t="shared" si="4"/>
        <v>7.7999999999999545</v>
      </c>
      <c r="D82" s="1">
        <f t="shared" si="5"/>
        <v>3126.5899999999997</v>
      </c>
      <c r="E82" s="1">
        <f t="shared" si="6"/>
        <v>3335.4610162658169</v>
      </c>
      <c r="F82">
        <f t="shared" si="7"/>
        <v>43627.101435915254</v>
      </c>
    </row>
    <row r="83" spans="1:6" x14ac:dyDescent="0.3">
      <c r="A83" s="1">
        <v>9.7789999999999999E-7</v>
      </c>
      <c r="B83">
        <v>3.01585E-3</v>
      </c>
      <c r="C83" s="1">
        <f t="shared" si="4"/>
        <v>7.8999999999999773</v>
      </c>
      <c r="D83" s="1">
        <f t="shared" si="5"/>
        <v>3015.85</v>
      </c>
      <c r="E83" s="1">
        <f t="shared" si="6"/>
        <v>3174.3873652535576</v>
      </c>
      <c r="F83">
        <f t="shared" si="7"/>
        <v>25134.096181539968</v>
      </c>
    </row>
    <row r="84" spans="1:6" x14ac:dyDescent="0.3">
      <c r="A84" s="1">
        <v>9.78E-7</v>
      </c>
      <c r="B84">
        <v>2.85418E-3</v>
      </c>
      <c r="C84" s="1">
        <f t="shared" si="4"/>
        <v>8</v>
      </c>
      <c r="D84" s="1">
        <f t="shared" si="5"/>
        <v>2854.18</v>
      </c>
      <c r="E84" s="1">
        <f t="shared" si="6"/>
        <v>3007.6166196999284</v>
      </c>
      <c r="F84">
        <f t="shared" si="7"/>
        <v>23542.796264940498</v>
      </c>
    </row>
    <row r="85" spans="1:6" x14ac:dyDescent="0.3">
      <c r="A85" s="1">
        <v>9.781E-7</v>
      </c>
      <c r="B85">
        <v>2.66665E-3</v>
      </c>
      <c r="C85" s="1">
        <f t="shared" si="4"/>
        <v>8.1000000000000227</v>
      </c>
      <c r="D85" s="1">
        <f t="shared" si="5"/>
        <v>2666.65</v>
      </c>
      <c r="E85" s="1">
        <f t="shared" si="6"/>
        <v>2837.0486764148018</v>
      </c>
      <c r="F85">
        <f t="shared" si="7"/>
        <v>29035.708923916292</v>
      </c>
    </row>
    <row r="86" spans="1:6" x14ac:dyDescent="0.3">
      <c r="A86" s="1">
        <v>9.7820000000000001E-7</v>
      </c>
      <c r="B86">
        <v>2.5211600000000002E-3</v>
      </c>
      <c r="C86" s="1">
        <f t="shared" si="4"/>
        <v>8.2000000000000455</v>
      </c>
      <c r="D86" s="1">
        <f t="shared" si="5"/>
        <v>2521.1600000000003</v>
      </c>
      <c r="E86" s="1">
        <f t="shared" si="6"/>
        <v>2664.5275516665279</v>
      </c>
      <c r="F86">
        <f t="shared" si="7"/>
        <v>20554.254870854449</v>
      </c>
    </row>
    <row r="87" spans="1:6" x14ac:dyDescent="0.3">
      <c r="A87" s="1">
        <v>9.7830000000000002E-7</v>
      </c>
      <c r="B87">
        <v>2.3987000000000001E-3</v>
      </c>
      <c r="C87" s="1">
        <f t="shared" si="4"/>
        <v>8.3000000000000682</v>
      </c>
      <c r="D87" s="1">
        <f t="shared" si="5"/>
        <v>2398.7000000000003</v>
      </c>
      <c r="E87" s="1">
        <f t="shared" si="6"/>
        <v>2491.809862050125</v>
      </c>
      <c r="F87">
        <f t="shared" si="7"/>
        <v>8669.4464109932651</v>
      </c>
    </row>
    <row r="88" spans="1:6" x14ac:dyDescent="0.3">
      <c r="A88" s="1">
        <v>9.7840000000000003E-7</v>
      </c>
      <c r="B88">
        <v>2.2859299999999998E-3</v>
      </c>
      <c r="C88" s="1">
        <f t="shared" si="4"/>
        <v>8.3999999999999773</v>
      </c>
      <c r="D88" s="1">
        <f t="shared" si="5"/>
        <v>2285.9299999999998</v>
      </c>
      <c r="E88" s="1">
        <f t="shared" si="6"/>
        <v>2320.5373332601876</v>
      </c>
      <c r="F88">
        <f t="shared" si="7"/>
        <v>1197.6675153816948</v>
      </c>
    </row>
    <row r="89" spans="1:6" x14ac:dyDescent="0.3">
      <c r="A89" s="1">
        <v>9.7850000000000003E-7</v>
      </c>
      <c r="B89">
        <v>2.1885300000000002E-3</v>
      </c>
      <c r="C89" s="1">
        <f t="shared" si="4"/>
        <v>8.5</v>
      </c>
      <c r="D89" s="1">
        <f t="shared" si="5"/>
        <v>2188.5300000000002</v>
      </c>
      <c r="E89" s="1">
        <f t="shared" si="6"/>
        <v>2152.2138532722201</v>
      </c>
      <c r="F89">
        <f t="shared" si="7"/>
        <v>1318.8625131536496</v>
      </c>
    </row>
    <row r="90" spans="1:6" x14ac:dyDescent="0.3">
      <c r="A90" s="1">
        <v>9.7860000000000004E-7</v>
      </c>
      <c r="B90">
        <v>2.0729400000000001E-3</v>
      </c>
      <c r="C90" s="1">
        <f t="shared" si="4"/>
        <v>8.6000000000000227</v>
      </c>
      <c r="D90" s="1">
        <f t="shared" si="5"/>
        <v>2072.94</v>
      </c>
      <c r="E90" s="1">
        <f t="shared" si="6"/>
        <v>1988.1874023823029</v>
      </c>
      <c r="F90">
        <f t="shared" si="7"/>
        <v>7183.0028029472796</v>
      </c>
    </row>
    <row r="91" spans="1:6" x14ac:dyDescent="0.3">
      <c r="A91" s="1">
        <v>9.7870000000000005E-7</v>
      </c>
      <c r="B91">
        <v>1.92542E-3</v>
      </c>
      <c r="C91" s="1">
        <f t="shared" si="4"/>
        <v>8.7000000000000455</v>
      </c>
      <c r="D91" s="1">
        <f t="shared" si="5"/>
        <v>1925.4199999999998</v>
      </c>
      <c r="E91" s="1">
        <f t="shared" si="6"/>
        <v>1829.6370087388652</v>
      </c>
      <c r="F91">
        <f t="shared" si="7"/>
        <v>9174.381414930589</v>
      </c>
    </row>
    <row r="92" spans="1:6" x14ac:dyDescent="0.3">
      <c r="A92" s="1">
        <v>9.7880000000000006E-7</v>
      </c>
      <c r="B92">
        <v>1.8049800000000001E-3</v>
      </c>
      <c r="C92" s="1">
        <f t="shared" si="4"/>
        <v>8.8000000000000682</v>
      </c>
      <c r="D92" s="1">
        <f t="shared" si="5"/>
        <v>1804.98</v>
      </c>
      <c r="E92" s="1">
        <f t="shared" si="6"/>
        <v>1677.5647021729158</v>
      </c>
      <c r="F92">
        <f t="shared" si="7"/>
        <v>16234.658120364584</v>
      </c>
    </row>
    <row r="93" spans="1:6" x14ac:dyDescent="0.3">
      <c r="A93" s="1">
        <v>9.7890000000000006E-7</v>
      </c>
      <c r="B93">
        <v>1.70313E-3</v>
      </c>
      <c r="C93" s="1">
        <f t="shared" si="4"/>
        <v>8.9000000000000909</v>
      </c>
      <c r="D93" s="1">
        <f t="shared" si="5"/>
        <v>1703.1299999999999</v>
      </c>
      <c r="E93" s="1">
        <f t="shared" si="6"/>
        <v>1532.7922780548543</v>
      </c>
      <c r="F93">
        <f t="shared" si="7"/>
        <v>29014.939517461749</v>
      </c>
    </row>
    <row r="94" spans="1:6" x14ac:dyDescent="0.3">
      <c r="A94" s="1">
        <v>9.7900000000000007E-7</v>
      </c>
      <c r="B94">
        <v>1.57704E-3</v>
      </c>
      <c r="C94" s="1">
        <f t="shared" si="4"/>
        <v>9.0000000000001137</v>
      </c>
      <c r="D94" s="1">
        <f t="shared" si="5"/>
        <v>1577.04</v>
      </c>
      <c r="E94" s="1">
        <f t="shared" si="6"/>
        <v>1395.9625421606745</v>
      </c>
      <c r="F94">
        <f t="shared" si="7"/>
        <v>32789.045737552689</v>
      </c>
    </row>
    <row r="95" spans="1:6" x14ac:dyDescent="0.3">
      <c r="A95" s="1">
        <v>9.7910000000000008E-7</v>
      </c>
      <c r="B95">
        <v>1.4578099999999999E-3</v>
      </c>
      <c r="C95" s="1">
        <f t="shared" si="4"/>
        <v>9.1000000000000227</v>
      </c>
      <c r="D95" s="1">
        <f t="shared" si="5"/>
        <v>1457.81</v>
      </c>
      <c r="E95" s="1">
        <f t="shared" si="6"/>
        <v>1267.5445912733876</v>
      </c>
      <c r="F95">
        <f t="shared" si="7"/>
        <v>36200.925757904857</v>
      </c>
    </row>
    <row r="96" spans="1:6" x14ac:dyDescent="0.3">
      <c r="A96" s="1">
        <v>9.7920000000000009E-7</v>
      </c>
      <c r="B96">
        <v>1.35071E-3</v>
      </c>
      <c r="C96" s="1">
        <f t="shared" si="4"/>
        <v>9.2000000000000455</v>
      </c>
      <c r="D96" s="1">
        <f t="shared" si="5"/>
        <v>1350.71</v>
      </c>
      <c r="E96" s="1">
        <f t="shared" si="6"/>
        <v>1147.8425951413824</v>
      </c>
      <c r="F96">
        <f t="shared" si="7"/>
        <v>41155.183954070286</v>
      </c>
    </row>
    <row r="97" spans="1:6" x14ac:dyDescent="0.3">
      <c r="A97" s="1">
        <v>9.7930000000000009E-7</v>
      </c>
      <c r="B97">
        <v>1.2670400000000001E-3</v>
      </c>
      <c r="C97" s="1">
        <f t="shared" si="4"/>
        <v>9.3000000000000682</v>
      </c>
      <c r="D97" s="1">
        <f t="shared" si="5"/>
        <v>1267.0400000000002</v>
      </c>
      <c r="E97" s="1">
        <f t="shared" si="6"/>
        <v>1037.0074846331029</v>
      </c>
      <c r="F97">
        <f t="shared" si="7"/>
        <v>52914.958126021847</v>
      </c>
    </row>
    <row r="98" spans="1:6" x14ac:dyDescent="0.3">
      <c r="A98" s="1">
        <v>9.794000000000001E-7</v>
      </c>
      <c r="B98">
        <v>1.1946999999999999E-3</v>
      </c>
      <c r="C98" s="1">
        <f t="shared" si="4"/>
        <v>9.4000000000000909</v>
      </c>
      <c r="D98" s="1">
        <f t="shared" si="5"/>
        <v>1194.6999999999998</v>
      </c>
      <c r="E98" s="1">
        <f t="shared" si="6"/>
        <v>935.05091819969107</v>
      </c>
      <c r="F98">
        <f t="shared" si="7"/>
        <v>67417.645679743422</v>
      </c>
    </row>
    <row r="99" spans="1:6" x14ac:dyDescent="0.3">
      <c r="A99" s="1">
        <v>9.794999999999999E-7</v>
      </c>
      <c r="B99">
        <v>1.1138700000000001E-3</v>
      </c>
      <c r="C99" s="1">
        <f t="shared" si="4"/>
        <v>9.4999999999998863</v>
      </c>
      <c r="D99" s="1">
        <f t="shared" si="5"/>
        <v>1113.8700000000001</v>
      </c>
      <c r="E99" s="1">
        <f t="shared" si="6"/>
        <v>841.86089258106733</v>
      </c>
      <c r="F99">
        <f t="shared" si="7"/>
        <v>73988.954518844519</v>
      </c>
    </row>
    <row r="100" spans="1:6" x14ac:dyDescent="0.3">
      <c r="A100" s="1">
        <v>9.795999999999999E-7</v>
      </c>
      <c r="B100">
        <v>1.04112E-3</v>
      </c>
      <c r="C100" s="1">
        <f t="shared" si="4"/>
        <v>9.5999999999999091</v>
      </c>
      <c r="D100" s="1">
        <f t="shared" si="5"/>
        <v>1041.1199999999999</v>
      </c>
      <c r="E100" s="1">
        <f t="shared" si="6"/>
        <v>757.21838146415246</v>
      </c>
      <c r="F100">
        <f t="shared" si="7"/>
        <v>80600.129007273834</v>
      </c>
    </row>
    <row r="101" spans="1:6" x14ac:dyDescent="0.3">
      <c r="A101" s="1">
        <v>9.7969999999999991E-7</v>
      </c>
      <c r="B101">
        <v>9.6796600000000001E-4</v>
      </c>
      <c r="C101" s="1">
        <f t="shared" si="4"/>
        <v>9.6999999999999318</v>
      </c>
      <c r="D101" s="1">
        <f t="shared" si="5"/>
        <v>967.96600000000001</v>
      </c>
      <c r="E101" s="1">
        <f t="shared" si="6"/>
        <v>680.81442414617482</v>
      </c>
      <c r="F101">
        <f t="shared" si="7"/>
        <v>82456.027515335125</v>
      </c>
    </row>
    <row r="102" spans="1:6" x14ac:dyDescent="0.3">
      <c r="A102" s="1">
        <v>9.7979999999999992E-7</v>
      </c>
      <c r="B102">
        <v>8.9764200000000004E-4</v>
      </c>
      <c r="C102" s="1">
        <f t="shared" si="4"/>
        <v>9.7999999999999545</v>
      </c>
      <c r="D102" s="1">
        <f t="shared" si="5"/>
        <v>897.64200000000005</v>
      </c>
      <c r="E102" s="1">
        <f t="shared" si="6"/>
        <v>612.26714119514418</v>
      </c>
      <c r="F102">
        <f t="shared" si="7"/>
        <v>81438.810037891424</v>
      </c>
    </row>
    <row r="103" spans="1:6" x14ac:dyDescent="0.3">
      <c r="A103" s="1">
        <v>9.7989999999999993E-7</v>
      </c>
      <c r="B103">
        <v>8.5278000000000003E-4</v>
      </c>
      <c r="C103" s="1">
        <f t="shared" si="4"/>
        <v>9.8999999999999773</v>
      </c>
      <c r="D103" s="1">
        <f t="shared" si="5"/>
        <v>852.78000000000009</v>
      </c>
      <c r="E103" s="1">
        <f t="shared" si="6"/>
        <v>551.13822141602259</v>
      </c>
      <c r="F103">
        <f t="shared" si="7"/>
        <v>90987.762587305304</v>
      </c>
    </row>
    <row r="104" spans="1:6" x14ac:dyDescent="0.3">
      <c r="A104" s="1">
        <v>9.7999999999999993E-7</v>
      </c>
      <c r="B104">
        <v>7.9175100000000004E-4</v>
      </c>
      <c r="C104" s="1">
        <f t="shared" si="4"/>
        <v>9.9999999999998863</v>
      </c>
      <c r="D104" s="1">
        <f t="shared" si="5"/>
        <v>791.75100000000009</v>
      </c>
      <c r="E104" s="1">
        <f t="shared" si="6"/>
        <v>496.94849980773131</v>
      </c>
      <c r="F104">
        <f t="shared" si="7"/>
        <v>86908.514119612635</v>
      </c>
    </row>
    <row r="105" spans="1:6" x14ac:dyDescent="0.3">
      <c r="A105" s="1">
        <v>9.8009999999999994E-7</v>
      </c>
      <c r="B105">
        <v>7.2587300000000003E-4</v>
      </c>
      <c r="C105" s="1">
        <f t="shared" si="4"/>
        <v>10.099999999999909</v>
      </c>
      <c r="D105" s="1">
        <f t="shared" si="5"/>
        <v>725.87300000000005</v>
      </c>
      <c r="E105" s="1">
        <f t="shared" si="6"/>
        <v>449.19232553532072</v>
      </c>
      <c r="F105">
        <f t="shared" si="7"/>
        <v>76552.195622229861</v>
      </c>
    </row>
    <row r="106" spans="1:6" x14ac:dyDescent="0.3">
      <c r="A106" s="1">
        <v>9.8019999999999995E-7</v>
      </c>
      <c r="B106">
        <v>6.9919800000000005E-4</v>
      </c>
      <c r="C106" s="1">
        <f t="shared" si="4"/>
        <v>10.199999999999932</v>
      </c>
      <c r="D106" s="1">
        <f t="shared" si="5"/>
        <v>699.19800000000009</v>
      </c>
      <c r="E106" s="1">
        <f t="shared" si="6"/>
        <v>407.35049848039057</v>
      </c>
      <c r="F106">
        <f t="shared" si="7"/>
        <v>85174.964143238481</v>
      </c>
    </row>
    <row r="107" spans="1:6" x14ac:dyDescent="0.3">
      <c r="A107" s="1">
        <v>9.8029999999999996E-7</v>
      </c>
      <c r="B107">
        <v>6.7697000000000005E-4</v>
      </c>
      <c r="C107" s="1">
        <f t="shared" si="4"/>
        <v>10.299999999999955</v>
      </c>
      <c r="D107" s="1">
        <f t="shared" si="5"/>
        <v>676.97</v>
      </c>
      <c r="E107" s="1">
        <f t="shared" si="6"/>
        <v>370.90162940787195</v>
      </c>
      <c r="F107">
        <f t="shared" si="7"/>
        <v>93677.847476920244</v>
      </c>
    </row>
    <row r="108" spans="1:6" x14ac:dyDescent="0.3">
      <c r="A108" s="1">
        <v>9.8039999999999996E-7</v>
      </c>
      <c r="B108">
        <v>6.3372400000000001E-4</v>
      </c>
      <c r="C108" s="1">
        <f t="shared" si="4"/>
        <v>10.399999999999977</v>
      </c>
      <c r="D108" s="1">
        <f t="shared" si="5"/>
        <v>633.72400000000005</v>
      </c>
      <c r="E108" s="1">
        <f t="shared" si="6"/>
        <v>339.33184953671787</v>
      </c>
      <c r="F108">
        <f t="shared" si="7"/>
        <v>86666.738254395779</v>
      </c>
    </row>
    <row r="109" spans="1:6" x14ac:dyDescent="0.3">
      <c r="A109" s="1">
        <v>9.8049999999999997E-7</v>
      </c>
      <c r="B109">
        <v>5.71888E-4</v>
      </c>
      <c r="C109" s="1">
        <f t="shared" si="4"/>
        <v>10.5</v>
      </c>
      <c r="D109" s="1">
        <f t="shared" si="5"/>
        <v>571.88800000000003</v>
      </c>
      <c r="E109" s="1">
        <f t="shared" si="6"/>
        <v>312.14285828839002</v>
      </c>
      <c r="F109">
        <f t="shared" si="7"/>
        <v>67467.538642784377</v>
      </c>
    </row>
    <row r="110" spans="1:6" x14ac:dyDescent="0.3">
      <c r="A110" s="1">
        <v>9.8059999999999998E-7</v>
      </c>
      <c r="B110">
        <v>5.2055899999999997E-4</v>
      </c>
      <c r="C110" s="1">
        <f t="shared" si="4"/>
        <v>10.600000000000023</v>
      </c>
      <c r="D110" s="1">
        <f t="shared" si="5"/>
        <v>520.55899999999997</v>
      </c>
      <c r="E110" s="1">
        <f t="shared" si="6"/>
        <v>288.85835183287992</v>
      </c>
      <c r="F110">
        <f t="shared" si="7"/>
        <v>53685.190361063549</v>
      </c>
    </row>
    <row r="111" spans="1:6" x14ac:dyDescent="0.3">
      <c r="A111" s="1">
        <v>9.8069999999999999E-7</v>
      </c>
      <c r="B111">
        <v>4.8014299999999999E-4</v>
      </c>
      <c r="C111" s="1">
        <f t="shared" si="4"/>
        <v>10.699999999999932</v>
      </c>
      <c r="D111" s="1">
        <f t="shared" si="5"/>
        <v>480.14299999999997</v>
      </c>
      <c r="E111" s="1">
        <f t="shared" si="6"/>
        <v>269.02891899092833</v>
      </c>
      <c r="F111">
        <f t="shared" si="7"/>
        <v>44569.155200304864</v>
      </c>
    </row>
    <row r="112" spans="1:6" x14ac:dyDescent="0.3">
      <c r="A112" s="1">
        <v>9.8079999999999999E-7</v>
      </c>
      <c r="B112">
        <v>4.3083599999999998E-4</v>
      </c>
      <c r="C112" s="1">
        <f t="shared" si="4"/>
        <v>10.799999999999955</v>
      </c>
      <c r="D112" s="1">
        <f t="shared" si="5"/>
        <v>430.83599999999996</v>
      </c>
      <c r="E112" s="1">
        <f t="shared" si="6"/>
        <v>252.2355248804941</v>
      </c>
      <c r="F112">
        <f t="shared" si="7"/>
        <v>31898.129712913233</v>
      </c>
    </row>
    <row r="113" spans="1:6" x14ac:dyDescent="0.3">
      <c r="A113" s="1">
        <v>9.809E-7</v>
      </c>
      <c r="B113">
        <v>4.0698999999999998E-4</v>
      </c>
      <c r="C113" s="1">
        <f t="shared" si="4"/>
        <v>10.899999999999977</v>
      </c>
      <c r="D113" s="1">
        <f t="shared" si="5"/>
        <v>406.98999999999995</v>
      </c>
      <c r="E113" s="1">
        <f t="shared" si="6"/>
        <v>238.09172669578072</v>
      </c>
      <c r="F113">
        <f t="shared" si="7"/>
        <v>28526.626725146736</v>
      </c>
    </row>
    <row r="114" spans="1:6" x14ac:dyDescent="0.3">
      <c r="A114" s="1">
        <v>9.8100000000000001E-7</v>
      </c>
      <c r="B114">
        <v>3.8274000000000001E-4</v>
      </c>
      <c r="C114" s="1">
        <f t="shared" si="4"/>
        <v>11</v>
      </c>
      <c r="D114" s="1">
        <f t="shared" si="5"/>
        <v>382.74</v>
      </c>
      <c r="E114" s="1">
        <f t="shared" si="6"/>
        <v>226.24478084712379</v>
      </c>
      <c r="F114">
        <f t="shared" si="7"/>
        <v>24490.753617706756</v>
      </c>
    </row>
    <row r="115" spans="1:6" x14ac:dyDescent="0.3">
      <c r="A115" s="1">
        <v>9.8110000000000002E-7</v>
      </c>
      <c r="B115">
        <v>3.5242800000000001E-4</v>
      </c>
      <c r="C115" s="1">
        <f t="shared" si="4"/>
        <v>11.100000000000023</v>
      </c>
      <c r="D115" s="1">
        <f t="shared" si="5"/>
        <v>352.428</v>
      </c>
      <c r="E115" s="1">
        <f t="shared" si="6"/>
        <v>216.37580733676631</v>
      </c>
      <c r="F115">
        <f t="shared" si="7"/>
        <v>18510.199128473658</v>
      </c>
    </row>
    <row r="116" spans="1:6" x14ac:dyDescent="0.3">
      <c r="A116" s="1">
        <v>9.8120000000000002E-7</v>
      </c>
      <c r="B116">
        <v>3.2575399999999998E-4</v>
      </c>
      <c r="C116" s="1">
        <f t="shared" si="4"/>
        <v>11.200000000000045</v>
      </c>
      <c r="D116" s="1">
        <f t="shared" si="5"/>
        <v>325.75399999999996</v>
      </c>
      <c r="E116" s="1">
        <f t="shared" si="6"/>
        <v>208.19917685707441</v>
      </c>
      <c r="F116">
        <f t="shared" si="7"/>
        <v>13819.136444164506</v>
      </c>
    </row>
    <row r="117" spans="1:6" x14ac:dyDescent="0.3">
      <c r="A117" s="1">
        <v>9.8130000000000003E-7</v>
      </c>
      <c r="B117">
        <v>3.13629E-4</v>
      </c>
      <c r="C117" s="1">
        <f t="shared" si="4"/>
        <v>11.300000000000068</v>
      </c>
      <c r="D117" s="1">
        <f t="shared" si="5"/>
        <v>313.62900000000002</v>
      </c>
      <c r="E117" s="1">
        <f t="shared" si="6"/>
        <v>201.46127994310768</v>
      </c>
      <c r="F117">
        <f t="shared" si="7"/>
        <v>12581.597422761368</v>
      </c>
    </row>
    <row r="118" spans="1:6" x14ac:dyDescent="0.3">
      <c r="A118" s="1">
        <v>9.8140000000000004E-7</v>
      </c>
      <c r="B118">
        <v>3.3221999999999999E-4</v>
      </c>
      <c r="C118" s="1">
        <f t="shared" si="4"/>
        <v>11.400000000000091</v>
      </c>
      <c r="D118" s="1">
        <f t="shared" si="5"/>
        <v>332.21999999999997</v>
      </c>
      <c r="E118" s="1">
        <f t="shared" si="6"/>
        <v>195.93882688282864</v>
      </c>
      <c r="F118">
        <f t="shared" si="7"/>
        <v>18572.558146192423</v>
      </c>
    </row>
    <row r="119" spans="1:6" x14ac:dyDescent="0.3">
      <c r="A119" s="1">
        <v>9.8150000000000005E-7</v>
      </c>
      <c r="B119">
        <v>3.4394100000000001E-4</v>
      </c>
      <c r="C119" s="1">
        <f t="shared" si="4"/>
        <v>11.5</v>
      </c>
      <c r="D119" s="1">
        <f t="shared" si="5"/>
        <v>343.94100000000003</v>
      </c>
      <c r="E119" s="1">
        <f t="shared" si="6"/>
        <v>191.43681323755638</v>
      </c>
      <c r="F119">
        <f t="shared" si="7"/>
        <v>23257.526980074294</v>
      </c>
    </row>
    <row r="120" spans="1:6" x14ac:dyDescent="0.3">
      <c r="A120" s="1">
        <v>9.8160000000000005E-7</v>
      </c>
      <c r="B120">
        <v>3.40708E-4</v>
      </c>
      <c r="C120" s="1">
        <f t="shared" si="4"/>
        <v>11.600000000000023</v>
      </c>
      <c r="D120" s="1">
        <f t="shared" si="5"/>
        <v>340.70800000000003</v>
      </c>
      <c r="E120" s="1">
        <f t="shared" si="6"/>
        <v>187.78626991024791</v>
      </c>
      <c r="F120">
        <f t="shared" si="7"/>
        <v>23385.055533642997</v>
      </c>
    </row>
    <row r="121" spans="1:6" x14ac:dyDescent="0.3">
      <c r="A121" s="1">
        <v>9.8170000000000006E-7</v>
      </c>
      <c r="B121">
        <v>3.2979500000000002E-4</v>
      </c>
      <c r="C121" s="1">
        <f t="shared" si="4"/>
        <v>11.700000000000045</v>
      </c>
      <c r="D121" s="1">
        <f t="shared" si="5"/>
        <v>329.79500000000002</v>
      </c>
      <c r="E121" s="1">
        <f t="shared" si="6"/>
        <v>184.84189974593684</v>
      </c>
      <c r="F121">
        <f t="shared" si="7"/>
        <v>21011.401273264488</v>
      </c>
    </row>
    <row r="122" spans="1:6" x14ac:dyDescent="0.3">
      <c r="A122" s="1">
        <v>9.8180000000000007E-7</v>
      </c>
      <c r="B122">
        <v>3.11608E-4</v>
      </c>
      <c r="C122" s="1">
        <f t="shared" si="4"/>
        <v>11.800000000000068</v>
      </c>
      <c r="D122" s="1">
        <f t="shared" si="5"/>
        <v>311.608</v>
      </c>
      <c r="E122" s="1">
        <f t="shared" si="6"/>
        <v>182.47968552718703</v>
      </c>
      <c r="F122">
        <f t="shared" si="7"/>
        <v>16674.121598589682</v>
      </c>
    </row>
    <row r="123" spans="1:6" x14ac:dyDescent="0.3">
      <c r="A123" s="1">
        <v>9.8190000000000008E-7</v>
      </c>
      <c r="B123">
        <v>2.9463299999999998E-4</v>
      </c>
      <c r="C123" s="1">
        <f t="shared" si="4"/>
        <v>11.900000000000091</v>
      </c>
      <c r="D123" s="1">
        <f t="shared" si="5"/>
        <v>294.63299999999998</v>
      </c>
      <c r="E123" s="1">
        <f t="shared" si="6"/>
        <v>180.59453764232208</v>
      </c>
      <c r="F123">
        <f t="shared" si="7"/>
        <v>13004.770896903519</v>
      </c>
    </row>
    <row r="124" spans="1:6" x14ac:dyDescent="0.3">
      <c r="A124" s="1">
        <v>9.8200000000000008E-7</v>
      </c>
      <c r="B124">
        <v>2.83317E-4</v>
      </c>
      <c r="C124" s="1">
        <f t="shared" si="4"/>
        <v>12.000000000000114</v>
      </c>
      <c r="D124" s="1">
        <f t="shared" si="5"/>
        <v>283.31700000000001</v>
      </c>
      <c r="E124" s="1">
        <f t="shared" si="6"/>
        <v>179.09803419224741</v>
      </c>
      <c r="F124">
        <f t="shared" si="7"/>
        <v>10861.592834037505</v>
      </c>
    </row>
    <row r="125" spans="1:6" x14ac:dyDescent="0.3">
      <c r="A125" s="1">
        <v>9.8210000000000009E-7</v>
      </c>
      <c r="B125">
        <v>2.56238E-4</v>
      </c>
      <c r="C125" s="1">
        <f t="shared" si="4"/>
        <v>12.100000000000136</v>
      </c>
      <c r="D125" s="1">
        <f t="shared" si="5"/>
        <v>256.238</v>
      </c>
      <c r="E125" s="1">
        <f t="shared" si="6"/>
        <v>177.91629224281024</v>
      </c>
      <c r="F125">
        <f t="shared" si="7"/>
        <v>6134.2899060026384</v>
      </c>
    </row>
    <row r="126" spans="1:6" x14ac:dyDescent="0.3">
      <c r="A126" s="1">
        <v>9.822000000000001E-7</v>
      </c>
      <c r="B126">
        <v>2.3117999999999999E-4</v>
      </c>
      <c r="C126" s="1">
        <f t="shared" si="4"/>
        <v>12.200000000000045</v>
      </c>
      <c r="D126" s="1">
        <f t="shared" si="5"/>
        <v>231.17999999999998</v>
      </c>
      <c r="E126" s="1">
        <f t="shared" si="6"/>
        <v>176.98799656020336</v>
      </c>
      <c r="F126">
        <f t="shared" si="7"/>
        <v>2936.773236818929</v>
      </c>
    </row>
    <row r="127" spans="1:6" x14ac:dyDescent="0.3">
      <c r="A127" s="1">
        <v>9.822999999999999E-7</v>
      </c>
      <c r="B127">
        <v>2.3481700000000001E-4</v>
      </c>
      <c r="C127" s="1">
        <f t="shared" si="4"/>
        <v>12.299999999999841</v>
      </c>
      <c r="D127" s="1">
        <f t="shared" si="5"/>
        <v>234.81700000000001</v>
      </c>
      <c r="E127" s="1">
        <f t="shared" si="6"/>
        <v>176.26260159980538</v>
      </c>
      <c r="F127">
        <f t="shared" si="7"/>
        <v>3428.6175720087153</v>
      </c>
    </row>
    <row r="128" spans="1:6" x14ac:dyDescent="0.3">
      <c r="A128" s="1">
        <v>9.823999999999999E-7</v>
      </c>
      <c r="B128">
        <v>2.3481700000000001E-4</v>
      </c>
      <c r="C128" s="1">
        <f t="shared" si="4"/>
        <v>12.399999999999864</v>
      </c>
      <c r="D128" s="1">
        <f t="shared" si="5"/>
        <v>234.81700000000001</v>
      </c>
      <c r="E128" s="1">
        <f t="shared" si="6"/>
        <v>175.69871376473566</v>
      </c>
      <c r="F128">
        <f t="shared" si="7"/>
        <v>3494.9717673946461</v>
      </c>
    </row>
    <row r="129" spans="1:6" x14ac:dyDescent="0.3">
      <c r="A129" s="1">
        <v>9.8249999999999991E-7</v>
      </c>
      <c r="B129">
        <v>2.43305E-4</v>
      </c>
      <c r="C129" s="1">
        <f t="shared" si="4"/>
        <v>12.499999999999886</v>
      </c>
      <c r="D129" s="1">
        <f t="shared" si="5"/>
        <v>243.30500000000001</v>
      </c>
      <c r="E129" s="1">
        <f t="shared" si="6"/>
        <v>175.26265393976419</v>
      </c>
      <c r="F129">
        <f t="shared" si="7"/>
        <v>4629.7608573808884</v>
      </c>
    </row>
    <row r="130" spans="1:6" x14ac:dyDescent="0.3">
      <c r="A130" s="1">
        <v>9.8259999999999992E-7</v>
      </c>
      <c r="B130">
        <v>2.5785499999999998E-4</v>
      </c>
      <c r="C130" s="1">
        <f t="shared" si="4"/>
        <v>12.599999999999909</v>
      </c>
      <c r="D130" s="1">
        <f t="shared" si="5"/>
        <v>257.85499999999996</v>
      </c>
      <c r="E130" s="1">
        <f t="shared" si="6"/>
        <v>174.92719491068436</v>
      </c>
      <c r="F130">
        <f t="shared" si="7"/>
        <v>6877.0208569315182</v>
      </c>
    </row>
    <row r="131" spans="1:6" x14ac:dyDescent="0.3">
      <c r="A131" s="1">
        <v>9.8269999999999993E-7</v>
      </c>
      <c r="B131">
        <v>2.3966699999999999E-4</v>
      </c>
      <c r="C131" s="1">
        <f t="shared" si="4"/>
        <v>12.699999999999932</v>
      </c>
      <c r="D131" s="1">
        <f t="shared" si="5"/>
        <v>239.667</v>
      </c>
      <c r="E131" s="1">
        <f t="shared" si="6"/>
        <v>174.67046433111983</v>
      </c>
      <c r="F131">
        <f t="shared" si="7"/>
        <v>4224.5496489560119</v>
      </c>
    </row>
    <row r="132" spans="1:6" x14ac:dyDescent="0.3">
      <c r="A132" s="1">
        <v>9.8279999999999993E-7</v>
      </c>
      <c r="B132">
        <v>2.18247E-4</v>
      </c>
      <c r="C132" s="1">
        <f t="shared" si="4"/>
        <v>12.799999999999955</v>
      </c>
      <c r="D132" s="1">
        <f t="shared" si="5"/>
        <v>218.24699999999999</v>
      </c>
      <c r="E132" s="1">
        <f t="shared" si="6"/>
        <v>174.47500120770894</v>
      </c>
      <c r="F132">
        <f t="shared" si="7"/>
        <v>1915.9878782723285</v>
      </c>
    </row>
    <row r="133" spans="1:6" x14ac:dyDescent="0.3">
      <c r="A133" s="1">
        <v>9.8289999999999994E-7</v>
      </c>
      <c r="B133">
        <v>2.10972E-4</v>
      </c>
      <c r="C133" s="1">
        <f t="shared" si="4"/>
        <v>12.899999999999977</v>
      </c>
      <c r="D133" s="1">
        <f t="shared" si="5"/>
        <v>210.97200000000001</v>
      </c>
      <c r="E133" s="1">
        <f t="shared" si="6"/>
        <v>174.32695224239373</v>
      </c>
      <c r="F133">
        <f t="shared" si="7"/>
        <v>1342.8595251572449</v>
      </c>
    </row>
    <row r="134" spans="1:6" x14ac:dyDescent="0.3">
      <c r="A134" s="1">
        <v>9.8299999999999995E-7</v>
      </c>
      <c r="B134">
        <v>2.2511800000000001E-4</v>
      </c>
      <c r="C134" s="1">
        <f t="shared" si="4"/>
        <v>13</v>
      </c>
      <c r="D134" s="1">
        <f t="shared" si="5"/>
        <v>225.11799999999999</v>
      </c>
      <c r="E134" s="1">
        <f t="shared" si="6"/>
        <v>174.21539360169135</v>
      </c>
      <c r="F134">
        <f t="shared" si="7"/>
        <v>2591.0753381411328</v>
      </c>
    </row>
    <row r="135" spans="1:6" x14ac:dyDescent="0.3">
      <c r="A135" s="1">
        <v>9.8309999999999996E-7</v>
      </c>
      <c r="B135">
        <v>2.3845499999999999E-4</v>
      </c>
      <c r="C135" s="1">
        <f t="shared" ref="C135:C138" si="8">(A135*1000000000)-970</f>
        <v>13.099999999999909</v>
      </c>
      <c r="D135" s="1">
        <f t="shared" ref="D135:D138" si="9">B135*1000000</f>
        <v>238.45499999999998</v>
      </c>
      <c r="E135" s="1">
        <f t="shared" ref="E135:E138" si="10">$K$2*EXP(-(((C135-$K$3)^2)/(2*($K$4^2))))+$K$5</f>
        <v>174.13176359333664</v>
      </c>
      <c r="F135">
        <f t="shared" ref="F135:F138" si="11">(D135-E135)^2</f>
        <v>4137.4787418275</v>
      </c>
    </row>
    <row r="136" spans="1:6" x14ac:dyDescent="0.3">
      <c r="A136" s="1">
        <v>9.8319999999999996E-7</v>
      </c>
      <c r="B136">
        <v>2.1865099999999999E-4</v>
      </c>
      <c r="C136" s="1">
        <f t="shared" si="8"/>
        <v>13.199999999999932</v>
      </c>
      <c r="D136" s="1">
        <f t="shared" si="9"/>
        <v>218.65099999999998</v>
      </c>
      <c r="E136" s="1">
        <f t="shared" si="10"/>
        <v>174.0693921536367</v>
      </c>
      <c r="F136">
        <f t="shared" si="11"/>
        <v>1987.5197581669204</v>
      </c>
    </row>
    <row r="137" spans="1:6" x14ac:dyDescent="0.3">
      <c r="A137" s="1">
        <v>9.8329999999999997E-7</v>
      </c>
      <c r="B137">
        <v>1.9197600000000001E-4</v>
      </c>
      <c r="C137" s="1">
        <f t="shared" si="8"/>
        <v>13.299999999999955</v>
      </c>
      <c r="D137" s="1">
        <f t="shared" si="9"/>
        <v>191.976</v>
      </c>
      <c r="E137" s="1">
        <f t="shared" si="10"/>
        <v>174.02311383791877</v>
      </c>
      <c r="F137">
        <f t="shared" si="11"/>
        <v>322.30612154864764</v>
      </c>
    </row>
    <row r="138" spans="1:6" x14ac:dyDescent="0.3">
      <c r="A138" s="1">
        <v>9.8339999999999998E-7</v>
      </c>
      <c r="B138">
        <v>2.0814299999999999E-4</v>
      </c>
      <c r="C138" s="1">
        <f t="shared" si="8"/>
        <v>13.399999999999977</v>
      </c>
      <c r="D138" s="1">
        <f t="shared" si="9"/>
        <v>208.143</v>
      </c>
      <c r="E138" s="1">
        <f t="shared" si="10"/>
        <v>173.98895203731547</v>
      </c>
      <c r="F138">
        <f t="shared" si="11"/>
        <v>1166.4989922373552</v>
      </c>
    </row>
    <row r="139" spans="1:6" x14ac:dyDescent="0.3">
      <c r="A139" s="1"/>
    </row>
    <row r="140" spans="1:6" x14ac:dyDescent="0.3">
      <c r="A140" s="1"/>
    </row>
    <row r="141" spans="1:6" x14ac:dyDescent="0.3">
      <c r="A141" s="1"/>
    </row>
    <row r="142" spans="1:6" x14ac:dyDescent="0.3">
      <c r="A142" s="1"/>
    </row>
    <row r="143" spans="1:6" x14ac:dyDescent="0.3">
      <c r="A143" s="1"/>
    </row>
    <row r="144" spans="1:6" x14ac:dyDescent="0.3">
      <c r="A144" s="1"/>
    </row>
    <row r="145" spans="1:4" x14ac:dyDescent="0.3">
      <c r="A145" s="1"/>
      <c r="B145" s="1"/>
      <c r="C145" s="1"/>
      <c r="D145" s="1"/>
    </row>
    <row r="146" spans="1:4" x14ac:dyDescent="0.3">
      <c r="A146" s="1"/>
      <c r="B146" s="1"/>
      <c r="C146" s="1"/>
      <c r="D146" s="1"/>
    </row>
    <row r="147" spans="1:4" x14ac:dyDescent="0.3">
      <c r="A147" s="1"/>
    </row>
    <row r="148" spans="1:4" x14ac:dyDescent="0.3">
      <c r="A148" s="1"/>
    </row>
    <row r="149" spans="1:4" x14ac:dyDescent="0.3">
      <c r="A149" s="1"/>
    </row>
    <row r="150" spans="1:4" x14ac:dyDescent="0.3">
      <c r="A150" s="1"/>
    </row>
    <row r="151" spans="1:4" x14ac:dyDescent="0.3">
      <c r="A151" s="1"/>
    </row>
    <row r="152" spans="1:4" x14ac:dyDescent="0.3">
      <c r="A152" s="1"/>
    </row>
    <row r="153" spans="1:4" x14ac:dyDescent="0.3">
      <c r="A153" s="1"/>
    </row>
    <row r="154" spans="1:4" x14ac:dyDescent="0.3">
      <c r="A154" s="1"/>
    </row>
    <row r="155" spans="1:4" x14ac:dyDescent="0.3">
      <c r="A155" s="1"/>
    </row>
    <row r="156" spans="1:4" x14ac:dyDescent="0.3">
      <c r="A156" s="1"/>
    </row>
    <row r="157" spans="1:4" x14ac:dyDescent="0.3">
      <c r="A157" s="1"/>
    </row>
    <row r="158" spans="1:4" x14ac:dyDescent="0.3">
      <c r="A158" s="1"/>
    </row>
    <row r="159" spans="1:4" x14ac:dyDescent="0.3">
      <c r="A159" s="1"/>
    </row>
    <row r="160" spans="1:4" x14ac:dyDescent="0.3">
      <c r="A160" s="1"/>
      <c r="B160" s="1"/>
      <c r="C160" s="1"/>
      <c r="D160" s="1"/>
    </row>
    <row r="161" spans="1:4" x14ac:dyDescent="0.3">
      <c r="A161" s="1"/>
    </row>
    <row r="162" spans="1:4" x14ac:dyDescent="0.3">
      <c r="A162" s="1"/>
    </row>
    <row r="163" spans="1:4" x14ac:dyDescent="0.3">
      <c r="A163" s="1"/>
    </row>
    <row r="164" spans="1:4" x14ac:dyDescent="0.3">
      <c r="A164" s="1"/>
    </row>
    <row r="165" spans="1:4" x14ac:dyDescent="0.3">
      <c r="A165" s="1"/>
    </row>
    <row r="166" spans="1:4" x14ac:dyDescent="0.3">
      <c r="A166" s="1"/>
    </row>
    <row r="167" spans="1:4" x14ac:dyDescent="0.3">
      <c r="A167" s="1"/>
    </row>
    <row r="168" spans="1:4" x14ac:dyDescent="0.3">
      <c r="A168" s="1"/>
    </row>
    <row r="169" spans="1:4" x14ac:dyDescent="0.3">
      <c r="A169" s="1"/>
    </row>
    <row r="170" spans="1:4" x14ac:dyDescent="0.3">
      <c r="A170" s="1"/>
    </row>
    <row r="171" spans="1:4" x14ac:dyDescent="0.3">
      <c r="A171" s="1"/>
    </row>
    <row r="172" spans="1:4" x14ac:dyDescent="0.3">
      <c r="A172" s="1"/>
    </row>
    <row r="173" spans="1:4" x14ac:dyDescent="0.3">
      <c r="A173" s="1"/>
    </row>
    <row r="174" spans="1:4" x14ac:dyDescent="0.3">
      <c r="A174" s="1"/>
    </row>
    <row r="175" spans="1:4" x14ac:dyDescent="0.3">
      <c r="A175" s="1"/>
      <c r="B175" s="1"/>
      <c r="C175" s="1"/>
      <c r="D175" s="1"/>
    </row>
    <row r="176" spans="1:4" x14ac:dyDescent="0.3">
      <c r="A176" s="1"/>
      <c r="B176" s="1"/>
      <c r="C176" s="1"/>
      <c r="D176" s="1"/>
    </row>
    <row r="177" spans="1:4" x14ac:dyDescent="0.3">
      <c r="A177" s="1"/>
      <c r="B177" s="1"/>
      <c r="C177" s="1"/>
      <c r="D177" s="1"/>
    </row>
    <row r="178" spans="1:4" x14ac:dyDescent="0.3">
      <c r="A178" s="1"/>
    </row>
    <row r="179" spans="1:4" x14ac:dyDescent="0.3">
      <c r="A179" s="1"/>
    </row>
    <row r="180" spans="1:4" x14ac:dyDescent="0.3">
      <c r="A180" s="1"/>
    </row>
    <row r="181" spans="1:4" x14ac:dyDescent="0.3">
      <c r="A181" s="1"/>
    </row>
    <row r="182" spans="1:4" x14ac:dyDescent="0.3">
      <c r="A182" s="1"/>
    </row>
    <row r="183" spans="1:4" x14ac:dyDescent="0.3">
      <c r="A183" s="1"/>
      <c r="B183" s="1"/>
      <c r="C183" s="1"/>
      <c r="D183" s="1"/>
    </row>
    <row r="184" spans="1:4" x14ac:dyDescent="0.3">
      <c r="A184" s="1"/>
      <c r="B184" s="1"/>
      <c r="C184" s="1"/>
      <c r="D184" s="1"/>
    </row>
    <row r="185" spans="1:4" x14ac:dyDescent="0.3">
      <c r="A185" s="1"/>
    </row>
    <row r="186" spans="1:4" x14ac:dyDescent="0.3">
      <c r="A186" s="1"/>
    </row>
    <row r="187" spans="1:4" x14ac:dyDescent="0.3">
      <c r="A187" s="1"/>
      <c r="B187" s="1"/>
      <c r="C187" s="1"/>
      <c r="D187" s="1"/>
    </row>
    <row r="188" spans="1:4" x14ac:dyDescent="0.3">
      <c r="A188" s="1"/>
      <c r="B188" s="1"/>
      <c r="C188" s="1"/>
      <c r="D188" s="1"/>
    </row>
    <row r="189" spans="1:4" x14ac:dyDescent="0.3">
      <c r="A189" s="1"/>
      <c r="B189" s="1"/>
      <c r="C189" s="1"/>
      <c r="D189" s="1"/>
    </row>
    <row r="190" spans="1:4" x14ac:dyDescent="0.3">
      <c r="A190" s="1"/>
      <c r="B190" s="1"/>
      <c r="C190" s="1"/>
      <c r="D190" s="1"/>
    </row>
    <row r="191" spans="1:4" x14ac:dyDescent="0.3">
      <c r="A191" s="1"/>
      <c r="B191" s="1"/>
      <c r="C191" s="1"/>
      <c r="D191" s="1"/>
    </row>
    <row r="192" spans="1:4" x14ac:dyDescent="0.3">
      <c r="A192" s="1"/>
    </row>
    <row r="193" spans="1:1" x14ac:dyDescent="0.3">
      <c r="A193" s="1"/>
    </row>
    <row r="194" spans="1:1" x14ac:dyDescent="0.3">
      <c r="A194" s="1"/>
    </row>
    <row r="195" spans="1:1" x14ac:dyDescent="0.3">
      <c r="A195" s="1"/>
    </row>
    <row r="196" spans="1:1" x14ac:dyDescent="0.3">
      <c r="A196" s="1"/>
    </row>
    <row r="197" spans="1:1" x14ac:dyDescent="0.3">
      <c r="A197" s="1"/>
    </row>
    <row r="198" spans="1:1" x14ac:dyDescent="0.3">
      <c r="A198" s="1"/>
    </row>
    <row r="199" spans="1:1" x14ac:dyDescent="0.3">
      <c r="A199" s="1"/>
    </row>
    <row r="200" spans="1:1" x14ac:dyDescent="0.3">
      <c r="A200" s="1"/>
    </row>
    <row r="201" spans="1:1" x14ac:dyDescent="0.3">
      <c r="A201" s="1"/>
    </row>
    <row r="202" spans="1:1" x14ac:dyDescent="0.3">
      <c r="A202" s="1"/>
    </row>
    <row r="203" spans="1:1" x14ac:dyDescent="0.3">
      <c r="A203" s="1"/>
    </row>
    <row r="204" spans="1:1" x14ac:dyDescent="0.3">
      <c r="A204" s="1"/>
    </row>
    <row r="205" spans="1:1" x14ac:dyDescent="0.3">
      <c r="A205" s="1"/>
    </row>
    <row r="206" spans="1:1" x14ac:dyDescent="0.3">
      <c r="A206" s="1"/>
    </row>
    <row r="207" spans="1:1" x14ac:dyDescent="0.3">
      <c r="A207" s="1"/>
    </row>
    <row r="208" spans="1:1" x14ac:dyDescent="0.3">
      <c r="A208" s="1"/>
    </row>
    <row r="209" spans="1:4" x14ac:dyDescent="0.3">
      <c r="A209" s="1"/>
    </row>
    <row r="210" spans="1:4" x14ac:dyDescent="0.3">
      <c r="A210" s="1"/>
    </row>
    <row r="211" spans="1:4" x14ac:dyDescent="0.3">
      <c r="A211" s="1"/>
    </row>
    <row r="212" spans="1:4" x14ac:dyDescent="0.3">
      <c r="A212" s="1"/>
    </row>
    <row r="213" spans="1:4" x14ac:dyDescent="0.3">
      <c r="A213" s="1"/>
    </row>
    <row r="214" spans="1:4" x14ac:dyDescent="0.3">
      <c r="A214" s="1"/>
    </row>
    <row r="215" spans="1:4" x14ac:dyDescent="0.3">
      <c r="A215" s="1"/>
    </row>
    <row r="216" spans="1:4" x14ac:dyDescent="0.3">
      <c r="A216" s="1"/>
    </row>
    <row r="217" spans="1:4" x14ac:dyDescent="0.3">
      <c r="A217" s="1"/>
    </row>
    <row r="218" spans="1:4" x14ac:dyDescent="0.3">
      <c r="A218" s="1"/>
    </row>
    <row r="219" spans="1:4" x14ac:dyDescent="0.3">
      <c r="A219" s="1"/>
    </row>
    <row r="220" spans="1:4" x14ac:dyDescent="0.3">
      <c r="A220" s="1"/>
      <c r="B220" s="1"/>
      <c r="C220" s="1"/>
      <c r="D220" s="1"/>
    </row>
    <row r="221" spans="1:4" x14ac:dyDescent="0.3">
      <c r="A221" s="1"/>
    </row>
    <row r="222" spans="1:4" x14ac:dyDescent="0.3">
      <c r="A222" s="1"/>
    </row>
    <row r="223" spans="1:4" x14ac:dyDescent="0.3">
      <c r="A223" s="1"/>
    </row>
    <row r="224" spans="1:4" x14ac:dyDescent="0.3">
      <c r="A224" s="1"/>
    </row>
    <row r="225" spans="1:4" x14ac:dyDescent="0.3">
      <c r="A225" s="1"/>
    </row>
    <row r="226" spans="1:4" x14ac:dyDescent="0.3">
      <c r="A226" s="1"/>
    </row>
    <row r="227" spans="1:4" x14ac:dyDescent="0.3">
      <c r="A227" s="1"/>
    </row>
    <row r="228" spans="1:4" x14ac:dyDescent="0.3">
      <c r="A228" s="1"/>
    </row>
    <row r="229" spans="1:4" x14ac:dyDescent="0.3">
      <c r="A229" s="1"/>
    </row>
    <row r="230" spans="1:4" x14ac:dyDescent="0.3">
      <c r="A230" s="1"/>
    </row>
    <row r="231" spans="1:4" x14ac:dyDescent="0.3">
      <c r="A231" s="1"/>
    </row>
    <row r="232" spans="1:4" x14ac:dyDescent="0.3">
      <c r="A232" s="1"/>
    </row>
    <row r="233" spans="1:4" x14ac:dyDescent="0.3">
      <c r="A233" s="1"/>
    </row>
    <row r="234" spans="1:4" x14ac:dyDescent="0.3">
      <c r="A234" s="1"/>
    </row>
    <row r="235" spans="1:4" x14ac:dyDescent="0.3">
      <c r="A235" s="1"/>
      <c r="B235" s="1"/>
      <c r="C235" s="1"/>
      <c r="D235" s="1"/>
    </row>
    <row r="236" spans="1:4" x14ac:dyDescent="0.3">
      <c r="A236" s="1"/>
      <c r="B236" s="1"/>
      <c r="C236" s="1"/>
      <c r="D236" s="1"/>
    </row>
    <row r="237" spans="1:4" x14ac:dyDescent="0.3">
      <c r="A237" s="1"/>
    </row>
    <row r="238" spans="1:4" x14ac:dyDescent="0.3">
      <c r="A238" s="1"/>
    </row>
    <row r="239" spans="1:4" x14ac:dyDescent="0.3">
      <c r="A239" s="1"/>
    </row>
    <row r="240" spans="1:4" x14ac:dyDescent="0.3">
      <c r="A240" s="1"/>
    </row>
    <row r="241" spans="1:1" x14ac:dyDescent="0.3">
      <c r="A241" s="1"/>
    </row>
    <row r="242" spans="1:1" x14ac:dyDescent="0.3">
      <c r="A242" s="1"/>
    </row>
    <row r="243" spans="1:1" x14ac:dyDescent="0.3">
      <c r="A243" s="1"/>
    </row>
    <row r="244" spans="1:1" x14ac:dyDescent="0.3">
      <c r="A244" s="1"/>
    </row>
    <row r="245" spans="1:1" x14ac:dyDescent="0.3">
      <c r="A245" s="1"/>
    </row>
    <row r="246" spans="1:1" x14ac:dyDescent="0.3">
      <c r="A246" s="1"/>
    </row>
    <row r="247" spans="1:1" x14ac:dyDescent="0.3">
      <c r="A247" s="1"/>
    </row>
    <row r="248" spans="1:1" x14ac:dyDescent="0.3">
      <c r="A248" s="1"/>
    </row>
    <row r="249" spans="1:1" x14ac:dyDescent="0.3">
      <c r="A249" s="1"/>
    </row>
    <row r="250" spans="1:1" x14ac:dyDescent="0.3">
      <c r="A250" s="1"/>
    </row>
    <row r="251" spans="1:1" x14ac:dyDescent="0.3">
      <c r="A251" s="1"/>
    </row>
    <row r="252" spans="1:1" x14ac:dyDescent="0.3">
      <c r="A252" s="1"/>
    </row>
    <row r="253" spans="1:1" x14ac:dyDescent="0.3">
      <c r="A253" s="1"/>
    </row>
    <row r="254" spans="1:1" x14ac:dyDescent="0.3">
      <c r="A254" s="1"/>
    </row>
    <row r="255" spans="1:1" x14ac:dyDescent="0.3">
      <c r="A255" s="1"/>
    </row>
    <row r="256" spans="1:1" x14ac:dyDescent="0.3">
      <c r="A256" s="1"/>
    </row>
    <row r="257" spans="1:4" x14ac:dyDescent="0.3">
      <c r="A257" s="1"/>
    </row>
    <row r="258" spans="1:4" x14ac:dyDescent="0.3">
      <c r="A258" s="1"/>
    </row>
    <row r="259" spans="1:4" x14ac:dyDescent="0.3">
      <c r="A259" s="1"/>
    </row>
    <row r="260" spans="1:4" x14ac:dyDescent="0.3">
      <c r="A260" s="1"/>
    </row>
    <row r="261" spans="1:4" x14ac:dyDescent="0.3">
      <c r="A261" s="1"/>
    </row>
    <row r="262" spans="1:4" x14ac:dyDescent="0.3">
      <c r="A262" s="1"/>
    </row>
    <row r="263" spans="1:4" x14ac:dyDescent="0.3">
      <c r="A263" s="1"/>
    </row>
    <row r="264" spans="1:4" x14ac:dyDescent="0.3">
      <c r="A264" s="1"/>
    </row>
    <row r="265" spans="1:4" x14ac:dyDescent="0.3">
      <c r="A265" s="1"/>
    </row>
    <row r="266" spans="1:4" x14ac:dyDescent="0.3">
      <c r="A266" s="1"/>
    </row>
    <row r="267" spans="1:4" x14ac:dyDescent="0.3">
      <c r="A267" s="1"/>
      <c r="B267" s="1"/>
      <c r="C267" s="1"/>
      <c r="D267" s="1"/>
    </row>
    <row r="268" spans="1:4" x14ac:dyDescent="0.3">
      <c r="A268" s="1"/>
    </row>
    <row r="269" spans="1:4" x14ac:dyDescent="0.3">
      <c r="A269" s="1"/>
    </row>
    <row r="270" spans="1:4" x14ac:dyDescent="0.3">
      <c r="A270" s="1"/>
    </row>
    <row r="271" spans="1:4" x14ac:dyDescent="0.3">
      <c r="A271" s="1"/>
    </row>
    <row r="272" spans="1:4" x14ac:dyDescent="0.3">
      <c r="A272" s="1"/>
    </row>
    <row r="273" spans="1:1" x14ac:dyDescent="0.3">
      <c r="A273" s="1"/>
    </row>
    <row r="274" spans="1:1" x14ac:dyDescent="0.3">
      <c r="A274" s="1"/>
    </row>
    <row r="275" spans="1:1" x14ac:dyDescent="0.3">
      <c r="A275" s="1"/>
    </row>
    <row r="276" spans="1:1" x14ac:dyDescent="0.3">
      <c r="A276" s="1"/>
    </row>
    <row r="277" spans="1:1" x14ac:dyDescent="0.3">
      <c r="A277" s="1"/>
    </row>
    <row r="278" spans="1:1" x14ac:dyDescent="0.3">
      <c r="A278" s="1"/>
    </row>
    <row r="279" spans="1:1" x14ac:dyDescent="0.3">
      <c r="A279" s="1"/>
    </row>
    <row r="280" spans="1:1" x14ac:dyDescent="0.3">
      <c r="A280" s="1"/>
    </row>
    <row r="281" spans="1:1" x14ac:dyDescent="0.3">
      <c r="A281" s="1"/>
    </row>
    <row r="282" spans="1:1" x14ac:dyDescent="0.3">
      <c r="A282" s="1"/>
    </row>
    <row r="283" spans="1:1" x14ac:dyDescent="0.3">
      <c r="A283" s="1"/>
    </row>
    <row r="284" spans="1:1" x14ac:dyDescent="0.3">
      <c r="A284" s="1"/>
    </row>
    <row r="285" spans="1:1" x14ac:dyDescent="0.3">
      <c r="A285" s="1"/>
    </row>
    <row r="286" spans="1:1" x14ac:dyDescent="0.3">
      <c r="A286" s="1"/>
    </row>
    <row r="287" spans="1:1" x14ac:dyDescent="0.3">
      <c r="A287" s="1"/>
    </row>
    <row r="288" spans="1:1" x14ac:dyDescent="0.3">
      <c r="A288" s="1"/>
    </row>
    <row r="289" spans="1:4" x14ac:dyDescent="0.3">
      <c r="A289" s="1"/>
    </row>
    <row r="290" spans="1:4" x14ac:dyDescent="0.3">
      <c r="A290" s="1"/>
    </row>
    <row r="291" spans="1:4" x14ac:dyDescent="0.3">
      <c r="A291" s="1"/>
    </row>
    <row r="292" spans="1:4" x14ac:dyDescent="0.3">
      <c r="A292" s="1"/>
    </row>
    <row r="293" spans="1:4" x14ac:dyDescent="0.3">
      <c r="A293" s="1"/>
    </row>
    <row r="294" spans="1:4" x14ac:dyDescent="0.3">
      <c r="A294" s="1"/>
    </row>
    <row r="295" spans="1:4" x14ac:dyDescent="0.3">
      <c r="A295" s="1"/>
      <c r="B295" s="1"/>
      <c r="C295" s="1"/>
      <c r="D295" s="1"/>
    </row>
    <row r="296" spans="1:4" x14ac:dyDescent="0.3">
      <c r="A296" s="1"/>
    </row>
    <row r="297" spans="1:4" x14ac:dyDescent="0.3">
      <c r="A297" s="1"/>
    </row>
    <row r="298" spans="1:4" x14ac:dyDescent="0.3">
      <c r="A298" s="1"/>
    </row>
    <row r="299" spans="1:4" x14ac:dyDescent="0.3">
      <c r="A299" s="1"/>
    </row>
    <row r="300" spans="1:4" x14ac:dyDescent="0.3">
      <c r="A300" s="1"/>
    </row>
    <row r="301" spans="1:4" x14ac:dyDescent="0.3">
      <c r="A301" s="1"/>
    </row>
    <row r="302" spans="1:4" x14ac:dyDescent="0.3">
      <c r="A302" s="1"/>
    </row>
    <row r="303" spans="1:4" x14ac:dyDescent="0.3">
      <c r="A303" s="1"/>
    </row>
    <row r="304" spans="1:4" x14ac:dyDescent="0.3">
      <c r="A304" s="1"/>
    </row>
    <row r="305" spans="1:1" x14ac:dyDescent="0.3">
      <c r="A305" s="1"/>
    </row>
    <row r="306" spans="1:1" x14ac:dyDescent="0.3">
      <c r="A306" s="1"/>
    </row>
    <row r="307" spans="1:1" x14ac:dyDescent="0.3">
      <c r="A307" s="1"/>
    </row>
    <row r="308" spans="1:1" x14ac:dyDescent="0.3">
      <c r="A308" s="1"/>
    </row>
    <row r="309" spans="1:1" x14ac:dyDescent="0.3">
      <c r="A309" s="1"/>
    </row>
    <row r="310" spans="1:1" x14ac:dyDescent="0.3">
      <c r="A310" s="1"/>
    </row>
    <row r="311" spans="1:1" x14ac:dyDescent="0.3">
      <c r="A311" s="1"/>
    </row>
    <row r="312" spans="1:1" x14ac:dyDescent="0.3">
      <c r="A312" s="1"/>
    </row>
    <row r="313" spans="1:1" x14ac:dyDescent="0.3">
      <c r="A313" s="1"/>
    </row>
    <row r="314" spans="1:1" x14ac:dyDescent="0.3">
      <c r="A314" s="1"/>
    </row>
    <row r="315" spans="1:1" x14ac:dyDescent="0.3">
      <c r="A315" s="1"/>
    </row>
    <row r="316" spans="1:1" x14ac:dyDescent="0.3">
      <c r="A316" s="1"/>
    </row>
    <row r="317" spans="1:1" x14ac:dyDescent="0.3">
      <c r="A317" s="1"/>
    </row>
    <row r="318" spans="1:1" x14ac:dyDescent="0.3">
      <c r="A318" s="1"/>
    </row>
    <row r="319" spans="1:1" x14ac:dyDescent="0.3">
      <c r="A319" s="1"/>
    </row>
    <row r="320" spans="1:1" x14ac:dyDescent="0.3">
      <c r="A320" s="1"/>
    </row>
    <row r="321" spans="1:4" x14ac:dyDescent="0.3">
      <c r="A321" s="1"/>
      <c r="B321" s="1"/>
      <c r="C321" s="1"/>
      <c r="D321" s="1"/>
    </row>
    <row r="322" spans="1:4" x14ac:dyDescent="0.3">
      <c r="A322" s="1"/>
      <c r="B322" s="1"/>
      <c r="C322" s="1"/>
      <c r="D322" s="1"/>
    </row>
    <row r="323" spans="1:4" x14ac:dyDescent="0.3">
      <c r="A323" s="1"/>
      <c r="B323" s="1"/>
      <c r="C323" s="1"/>
      <c r="D323" s="1"/>
    </row>
    <row r="324" spans="1:4" x14ac:dyDescent="0.3">
      <c r="A324" s="1"/>
      <c r="B324" s="1"/>
      <c r="C324" s="1"/>
      <c r="D324" s="1"/>
    </row>
    <row r="325" spans="1:4" x14ac:dyDescent="0.3">
      <c r="A325" s="1"/>
      <c r="B325" s="1"/>
      <c r="C325" s="1"/>
      <c r="D325" s="1"/>
    </row>
    <row r="326" spans="1:4" x14ac:dyDescent="0.3">
      <c r="A326" s="1"/>
      <c r="B326" s="1"/>
      <c r="C326" s="1"/>
      <c r="D326" s="1"/>
    </row>
    <row r="327" spans="1:4" x14ac:dyDescent="0.3">
      <c r="A327" s="1"/>
      <c r="B327" s="1"/>
      <c r="C327" s="1"/>
      <c r="D327" s="1"/>
    </row>
    <row r="328" spans="1:4" x14ac:dyDescent="0.3">
      <c r="A328" s="1"/>
      <c r="B328" s="1"/>
      <c r="C328" s="1"/>
      <c r="D328" s="1"/>
    </row>
    <row r="329" spans="1:4" x14ac:dyDescent="0.3">
      <c r="A329" s="1"/>
      <c r="B329" s="1"/>
      <c r="C329" s="1"/>
      <c r="D329" s="1"/>
    </row>
    <row r="330" spans="1:4" x14ac:dyDescent="0.3">
      <c r="A330" s="1"/>
      <c r="B330" s="1"/>
      <c r="C330" s="1"/>
      <c r="D330" s="1"/>
    </row>
    <row r="331" spans="1:4" x14ac:dyDescent="0.3">
      <c r="A331" s="1"/>
    </row>
    <row r="332" spans="1:4" x14ac:dyDescent="0.3">
      <c r="A332" s="1"/>
      <c r="B332" s="1"/>
      <c r="C332" s="1"/>
      <c r="D332" s="1"/>
    </row>
    <row r="333" spans="1:4" x14ac:dyDescent="0.3">
      <c r="A333" s="1"/>
      <c r="B333" s="1"/>
      <c r="C333" s="1"/>
      <c r="D333" s="1"/>
    </row>
    <row r="334" spans="1:4" x14ac:dyDescent="0.3">
      <c r="A334" s="1"/>
      <c r="B334" s="1"/>
      <c r="C334" s="1"/>
      <c r="D334" s="1"/>
    </row>
    <row r="335" spans="1:4" x14ac:dyDescent="0.3">
      <c r="A335" s="1"/>
      <c r="B335" s="1"/>
      <c r="C335" s="1"/>
      <c r="D335" s="1"/>
    </row>
    <row r="336" spans="1:4" x14ac:dyDescent="0.3">
      <c r="A336" s="1"/>
      <c r="B336" s="1"/>
      <c r="C336" s="1"/>
      <c r="D336" s="1"/>
    </row>
    <row r="337" spans="1:4" x14ac:dyDescent="0.3">
      <c r="A337" s="1"/>
    </row>
    <row r="338" spans="1:4" x14ac:dyDescent="0.3">
      <c r="A338" s="1"/>
    </row>
    <row r="339" spans="1:4" x14ac:dyDescent="0.3">
      <c r="A339" s="1"/>
    </row>
    <row r="340" spans="1:4" x14ac:dyDescent="0.3">
      <c r="A340" s="1"/>
      <c r="B340" s="1"/>
      <c r="C340" s="1"/>
      <c r="D340" s="1"/>
    </row>
    <row r="341" spans="1:4" x14ac:dyDescent="0.3">
      <c r="A341" s="1"/>
      <c r="B341" s="1"/>
      <c r="C341" s="1"/>
      <c r="D341" s="1"/>
    </row>
    <row r="342" spans="1:4" x14ac:dyDescent="0.3">
      <c r="A342" s="1"/>
    </row>
    <row r="343" spans="1:4" x14ac:dyDescent="0.3">
      <c r="A343" s="1"/>
      <c r="B343" s="1"/>
      <c r="C343" s="1"/>
      <c r="D343" s="1"/>
    </row>
    <row r="344" spans="1:4" x14ac:dyDescent="0.3">
      <c r="A344" s="1"/>
      <c r="B344" s="1"/>
      <c r="C344" s="1"/>
      <c r="D344" s="1"/>
    </row>
    <row r="345" spans="1:4" x14ac:dyDescent="0.3">
      <c r="A345" s="1"/>
      <c r="B345" s="1"/>
      <c r="C345" s="1"/>
      <c r="D345" s="1"/>
    </row>
    <row r="346" spans="1:4" x14ac:dyDescent="0.3">
      <c r="A346" s="1"/>
    </row>
    <row r="347" spans="1:4" x14ac:dyDescent="0.3">
      <c r="A347" s="1"/>
    </row>
    <row r="348" spans="1:4" x14ac:dyDescent="0.3">
      <c r="A348" s="1"/>
    </row>
    <row r="349" spans="1:4" x14ac:dyDescent="0.3">
      <c r="A349" s="1"/>
    </row>
    <row r="350" spans="1:4" x14ac:dyDescent="0.3">
      <c r="A350" s="1"/>
    </row>
    <row r="351" spans="1:4" x14ac:dyDescent="0.3">
      <c r="A351" s="1"/>
    </row>
    <row r="352" spans="1:4" x14ac:dyDescent="0.3">
      <c r="A352" s="1"/>
    </row>
    <row r="353" spans="1:1" x14ac:dyDescent="0.3">
      <c r="A353" s="1"/>
    </row>
    <row r="354" spans="1:1" x14ac:dyDescent="0.3">
      <c r="A354" s="1"/>
    </row>
    <row r="355" spans="1:1" x14ac:dyDescent="0.3">
      <c r="A355" s="1"/>
    </row>
    <row r="356" spans="1:1" x14ac:dyDescent="0.3">
      <c r="A356" s="1"/>
    </row>
    <row r="357" spans="1:1" x14ac:dyDescent="0.3">
      <c r="A357" s="1"/>
    </row>
    <row r="358" spans="1:1" x14ac:dyDescent="0.3">
      <c r="A358" s="1"/>
    </row>
    <row r="359" spans="1:1" x14ac:dyDescent="0.3">
      <c r="A359" s="1"/>
    </row>
    <row r="360" spans="1:1" x14ac:dyDescent="0.3">
      <c r="A360" s="1"/>
    </row>
    <row r="361" spans="1:1" x14ac:dyDescent="0.3">
      <c r="A361" s="1"/>
    </row>
    <row r="362" spans="1:1" x14ac:dyDescent="0.3">
      <c r="A362" s="1"/>
    </row>
    <row r="363" spans="1:1" x14ac:dyDescent="0.3">
      <c r="A363" s="1"/>
    </row>
    <row r="364" spans="1:1" x14ac:dyDescent="0.3">
      <c r="A364" s="1"/>
    </row>
    <row r="365" spans="1:1" x14ac:dyDescent="0.3">
      <c r="A365" s="1"/>
    </row>
    <row r="366" spans="1:1" x14ac:dyDescent="0.3">
      <c r="A366" s="1"/>
    </row>
    <row r="367" spans="1:1" x14ac:dyDescent="0.3">
      <c r="A367" s="1"/>
    </row>
    <row r="368" spans="1:1" x14ac:dyDescent="0.3">
      <c r="A368" s="1"/>
    </row>
    <row r="369" spans="1:4" x14ac:dyDescent="0.3">
      <c r="A369" s="1"/>
    </row>
    <row r="370" spans="1:4" x14ac:dyDescent="0.3">
      <c r="A370" s="1"/>
    </row>
    <row r="371" spans="1:4" x14ac:dyDescent="0.3">
      <c r="A371" s="1"/>
    </row>
    <row r="372" spans="1:4" x14ac:dyDescent="0.3">
      <c r="A372" s="1"/>
    </row>
    <row r="373" spans="1:4" x14ac:dyDescent="0.3">
      <c r="A373" s="1"/>
    </row>
    <row r="374" spans="1:4" x14ac:dyDescent="0.3">
      <c r="A374" s="1"/>
    </row>
    <row r="375" spans="1:4" x14ac:dyDescent="0.3">
      <c r="A375" s="1"/>
    </row>
    <row r="376" spans="1:4" x14ac:dyDescent="0.3">
      <c r="A376" s="1"/>
    </row>
    <row r="377" spans="1:4" x14ac:dyDescent="0.3">
      <c r="A377" s="1"/>
    </row>
    <row r="378" spans="1:4" x14ac:dyDescent="0.3">
      <c r="A378" s="1"/>
    </row>
    <row r="379" spans="1:4" x14ac:dyDescent="0.3">
      <c r="A379" s="1"/>
    </row>
    <row r="380" spans="1:4" x14ac:dyDescent="0.3">
      <c r="A380" s="1"/>
      <c r="B380" s="1"/>
      <c r="C380" s="1"/>
      <c r="D380" s="1"/>
    </row>
    <row r="381" spans="1:4" x14ac:dyDescent="0.3">
      <c r="A381" s="1"/>
      <c r="B381" s="1"/>
      <c r="C381" s="1"/>
      <c r="D381" s="1"/>
    </row>
    <row r="382" spans="1:4" x14ac:dyDescent="0.3">
      <c r="A382" s="1"/>
      <c r="B382" s="1"/>
      <c r="C382" s="1"/>
      <c r="D382" s="1"/>
    </row>
    <row r="383" spans="1:4" x14ac:dyDescent="0.3">
      <c r="A383" s="1"/>
      <c r="B383" s="1"/>
      <c r="C383" s="1"/>
      <c r="D383" s="1"/>
    </row>
    <row r="384" spans="1:4" x14ac:dyDescent="0.3">
      <c r="A384" s="1"/>
      <c r="B384" s="1"/>
      <c r="C384" s="1"/>
      <c r="D384" s="1"/>
    </row>
    <row r="385" spans="1:4" x14ac:dyDescent="0.3">
      <c r="A385" s="1"/>
      <c r="B385" s="1"/>
      <c r="C385" s="1"/>
      <c r="D385" s="1"/>
    </row>
    <row r="386" spans="1:4" x14ac:dyDescent="0.3">
      <c r="A386" s="1"/>
      <c r="B386" s="1"/>
      <c r="C386" s="1"/>
      <c r="D386" s="1"/>
    </row>
    <row r="387" spans="1:4" x14ac:dyDescent="0.3">
      <c r="A387" s="1"/>
    </row>
    <row r="388" spans="1:4" x14ac:dyDescent="0.3">
      <c r="A388" s="1"/>
    </row>
    <row r="389" spans="1:4" x14ac:dyDescent="0.3">
      <c r="A389" s="1"/>
      <c r="B389" s="1"/>
      <c r="C389" s="1"/>
      <c r="D389" s="1"/>
    </row>
    <row r="390" spans="1:4" x14ac:dyDescent="0.3">
      <c r="A390" s="1"/>
      <c r="B390" s="1"/>
      <c r="C390" s="1"/>
      <c r="D390" s="1"/>
    </row>
    <row r="391" spans="1:4" x14ac:dyDescent="0.3">
      <c r="A391" s="1"/>
      <c r="B391" s="1"/>
      <c r="C391" s="1"/>
      <c r="D391" s="1"/>
    </row>
    <row r="392" spans="1:4" x14ac:dyDescent="0.3">
      <c r="A392" s="1"/>
      <c r="B392" s="1"/>
      <c r="C392" s="1"/>
      <c r="D392" s="1"/>
    </row>
    <row r="393" spans="1:4" x14ac:dyDescent="0.3">
      <c r="A393" s="1"/>
      <c r="B393" s="1"/>
      <c r="C393" s="1"/>
      <c r="D393" s="1"/>
    </row>
    <row r="394" spans="1:4" x14ac:dyDescent="0.3">
      <c r="A394" s="1"/>
    </row>
    <row r="395" spans="1:4" x14ac:dyDescent="0.3">
      <c r="A395" s="1"/>
    </row>
    <row r="396" spans="1:4" x14ac:dyDescent="0.3">
      <c r="A396" s="1"/>
    </row>
    <row r="397" spans="1:4" x14ac:dyDescent="0.3">
      <c r="A397" s="1"/>
    </row>
    <row r="398" spans="1:4" x14ac:dyDescent="0.3">
      <c r="A398" s="1"/>
    </row>
    <row r="399" spans="1:4" x14ac:dyDescent="0.3">
      <c r="A399" s="1"/>
    </row>
    <row r="400" spans="1:4" x14ac:dyDescent="0.3">
      <c r="A400" s="1"/>
    </row>
    <row r="401" spans="1:4" x14ac:dyDescent="0.3">
      <c r="A401" s="1"/>
      <c r="B401" s="1"/>
      <c r="C401" s="1"/>
      <c r="D401" s="1"/>
    </row>
    <row r="402" spans="1:4" x14ac:dyDescent="0.3">
      <c r="A402" s="1"/>
      <c r="B402" s="1"/>
      <c r="C402" s="1"/>
      <c r="D402" s="1"/>
    </row>
    <row r="403" spans="1:4" x14ac:dyDescent="0.3">
      <c r="A403" s="1"/>
      <c r="B403" s="1"/>
      <c r="C403" s="1"/>
      <c r="D403" s="1"/>
    </row>
    <row r="404" spans="1:4" x14ac:dyDescent="0.3">
      <c r="A404" s="1"/>
      <c r="B404" s="1"/>
      <c r="C404" s="1"/>
      <c r="D404" s="1"/>
    </row>
    <row r="405" spans="1:4" x14ac:dyDescent="0.3">
      <c r="A405" s="1"/>
    </row>
    <row r="406" spans="1:4" x14ac:dyDescent="0.3">
      <c r="A406" s="1"/>
    </row>
    <row r="407" spans="1:4" x14ac:dyDescent="0.3">
      <c r="A407" s="1"/>
    </row>
    <row r="408" spans="1:4" x14ac:dyDescent="0.3">
      <c r="A408" s="1"/>
    </row>
    <row r="409" spans="1:4" x14ac:dyDescent="0.3">
      <c r="A409" s="1"/>
    </row>
    <row r="410" spans="1:4" x14ac:dyDescent="0.3">
      <c r="A410" s="1"/>
    </row>
    <row r="411" spans="1:4" x14ac:dyDescent="0.3">
      <c r="A411" s="1"/>
    </row>
    <row r="412" spans="1:4" x14ac:dyDescent="0.3">
      <c r="A412" s="1"/>
      <c r="B412" s="1"/>
      <c r="C412" s="1"/>
      <c r="D412" s="1"/>
    </row>
    <row r="413" spans="1:4" x14ac:dyDescent="0.3">
      <c r="A413" s="1"/>
      <c r="B413" s="1"/>
      <c r="C413" s="1"/>
      <c r="D413" s="1"/>
    </row>
    <row r="414" spans="1:4" x14ac:dyDescent="0.3">
      <c r="A414" s="1"/>
    </row>
    <row r="415" spans="1:4" x14ac:dyDescent="0.3">
      <c r="A415" s="1"/>
    </row>
    <row r="416" spans="1:4" x14ac:dyDescent="0.3">
      <c r="A416" s="1"/>
    </row>
    <row r="417" spans="1:4" x14ac:dyDescent="0.3">
      <c r="A417" s="1"/>
    </row>
    <row r="418" spans="1:4" x14ac:dyDescent="0.3">
      <c r="A418" s="1"/>
    </row>
    <row r="419" spans="1:4" x14ac:dyDescent="0.3">
      <c r="A419" s="1"/>
    </row>
    <row r="420" spans="1:4" x14ac:dyDescent="0.3">
      <c r="A420" s="1"/>
    </row>
    <row r="421" spans="1:4" x14ac:dyDescent="0.3">
      <c r="A421" s="1"/>
    </row>
    <row r="422" spans="1:4" x14ac:dyDescent="0.3">
      <c r="A422" s="1"/>
    </row>
    <row r="423" spans="1:4" x14ac:dyDescent="0.3">
      <c r="A423" s="1"/>
    </row>
    <row r="424" spans="1:4" x14ac:dyDescent="0.3">
      <c r="A424" s="1"/>
    </row>
    <row r="425" spans="1:4" x14ac:dyDescent="0.3">
      <c r="A425" s="1"/>
      <c r="B425" s="1"/>
      <c r="C425" s="1"/>
      <c r="D425" s="1"/>
    </row>
    <row r="426" spans="1:4" x14ac:dyDescent="0.3">
      <c r="A426" s="1"/>
      <c r="B426" s="1"/>
      <c r="C426" s="1"/>
      <c r="D426" s="1"/>
    </row>
    <row r="427" spans="1:4" x14ac:dyDescent="0.3">
      <c r="A427" s="1"/>
      <c r="B427" s="1"/>
      <c r="C427" s="1"/>
      <c r="D427" s="1"/>
    </row>
    <row r="428" spans="1:4" x14ac:dyDescent="0.3">
      <c r="A428" s="1"/>
    </row>
    <row r="429" spans="1:4" x14ac:dyDescent="0.3">
      <c r="A429" s="1"/>
    </row>
    <row r="430" spans="1:4" x14ac:dyDescent="0.3">
      <c r="A430" s="1"/>
    </row>
    <row r="431" spans="1:4" x14ac:dyDescent="0.3">
      <c r="A431" s="1"/>
    </row>
    <row r="432" spans="1:4" x14ac:dyDescent="0.3">
      <c r="A432" s="1"/>
      <c r="B432" s="1"/>
      <c r="C432" s="1"/>
      <c r="D432" s="1"/>
    </row>
    <row r="433" spans="1:4" x14ac:dyDescent="0.3">
      <c r="A433" s="1"/>
      <c r="B433" s="1"/>
      <c r="C433" s="1"/>
      <c r="D433" s="1"/>
    </row>
    <row r="434" spans="1:4" x14ac:dyDescent="0.3">
      <c r="A434" s="1"/>
      <c r="B434" s="1"/>
      <c r="C434" s="1"/>
      <c r="D434" s="1"/>
    </row>
    <row r="435" spans="1:4" x14ac:dyDescent="0.3">
      <c r="A435" s="1"/>
    </row>
    <row r="436" spans="1:4" x14ac:dyDescent="0.3">
      <c r="A436" s="1"/>
    </row>
    <row r="437" spans="1:4" x14ac:dyDescent="0.3">
      <c r="A437" s="1"/>
    </row>
    <row r="438" spans="1:4" x14ac:dyDescent="0.3">
      <c r="A438" s="1"/>
      <c r="B438" s="1"/>
      <c r="C438" s="1"/>
      <c r="D438" s="1"/>
    </row>
    <row r="439" spans="1:4" x14ac:dyDescent="0.3">
      <c r="A439" s="1"/>
      <c r="B439" s="1"/>
      <c r="C439" s="1"/>
      <c r="D439" s="1"/>
    </row>
    <row r="440" spans="1:4" x14ac:dyDescent="0.3">
      <c r="A440" s="1"/>
      <c r="B440" s="1"/>
      <c r="C440" s="1"/>
      <c r="D440" s="1"/>
    </row>
    <row r="441" spans="1:4" x14ac:dyDescent="0.3">
      <c r="A441" s="1"/>
      <c r="B441" s="1"/>
      <c r="C441" s="1"/>
      <c r="D441" s="1"/>
    </row>
    <row r="442" spans="1:4" x14ac:dyDescent="0.3">
      <c r="A442" s="1"/>
      <c r="B442" s="1"/>
      <c r="C442" s="1"/>
      <c r="D442" s="1"/>
    </row>
    <row r="443" spans="1:4" x14ac:dyDescent="0.3">
      <c r="A443" s="1"/>
      <c r="B443" s="1"/>
      <c r="C443" s="1"/>
      <c r="D443" s="1"/>
    </row>
    <row r="444" spans="1:4" x14ac:dyDescent="0.3">
      <c r="A444" s="1"/>
    </row>
    <row r="445" spans="1:4" x14ac:dyDescent="0.3">
      <c r="A445" s="1"/>
    </row>
    <row r="446" spans="1:4" x14ac:dyDescent="0.3">
      <c r="A446" s="1"/>
    </row>
    <row r="447" spans="1:4" x14ac:dyDescent="0.3">
      <c r="A447" s="1"/>
    </row>
    <row r="448" spans="1:4" x14ac:dyDescent="0.3">
      <c r="A448" s="1"/>
    </row>
    <row r="449" spans="1:1" x14ac:dyDescent="0.3">
      <c r="A449" s="1"/>
    </row>
    <row r="450" spans="1:1" x14ac:dyDescent="0.3">
      <c r="A450" s="1"/>
    </row>
    <row r="451" spans="1:1" x14ac:dyDescent="0.3">
      <c r="A451" s="1"/>
    </row>
    <row r="452" spans="1:1" x14ac:dyDescent="0.3">
      <c r="A452" s="1"/>
    </row>
    <row r="453" spans="1:1" x14ac:dyDescent="0.3">
      <c r="A453" s="1"/>
    </row>
    <row r="454" spans="1:1" x14ac:dyDescent="0.3">
      <c r="A454" s="1"/>
    </row>
    <row r="455" spans="1:1" x14ac:dyDescent="0.3">
      <c r="A455" s="1"/>
    </row>
    <row r="456" spans="1:1" x14ac:dyDescent="0.3">
      <c r="A456" s="1"/>
    </row>
    <row r="457" spans="1:1" x14ac:dyDescent="0.3">
      <c r="A457" s="1"/>
    </row>
    <row r="458" spans="1:1" x14ac:dyDescent="0.3">
      <c r="A458" s="1"/>
    </row>
    <row r="459" spans="1:1" x14ac:dyDescent="0.3">
      <c r="A459" s="1"/>
    </row>
    <row r="460" spans="1:1" x14ac:dyDescent="0.3">
      <c r="A460" s="1"/>
    </row>
    <row r="461" spans="1:1" x14ac:dyDescent="0.3">
      <c r="A461" s="1"/>
    </row>
    <row r="462" spans="1:1" x14ac:dyDescent="0.3">
      <c r="A462" s="1"/>
    </row>
    <row r="463" spans="1:1" x14ac:dyDescent="0.3">
      <c r="A463" s="1"/>
    </row>
    <row r="464" spans="1:1" x14ac:dyDescent="0.3">
      <c r="A464" s="1"/>
    </row>
    <row r="465" spans="1:1" x14ac:dyDescent="0.3">
      <c r="A465" s="1"/>
    </row>
    <row r="466" spans="1:1" x14ac:dyDescent="0.3">
      <c r="A466" s="1"/>
    </row>
    <row r="467" spans="1:1" x14ac:dyDescent="0.3">
      <c r="A467" s="1"/>
    </row>
    <row r="468" spans="1:1" x14ac:dyDescent="0.3">
      <c r="A468" s="1"/>
    </row>
    <row r="469" spans="1:1" x14ac:dyDescent="0.3">
      <c r="A469" s="1"/>
    </row>
    <row r="470" spans="1:1" x14ac:dyDescent="0.3">
      <c r="A470" s="1"/>
    </row>
    <row r="471" spans="1:1" x14ac:dyDescent="0.3">
      <c r="A471" s="1"/>
    </row>
    <row r="472" spans="1:1" x14ac:dyDescent="0.3">
      <c r="A472" s="1"/>
    </row>
    <row r="473" spans="1:1" x14ac:dyDescent="0.3">
      <c r="A473" s="1"/>
    </row>
    <row r="474" spans="1:1" x14ac:dyDescent="0.3">
      <c r="A474" s="1"/>
    </row>
    <row r="475" spans="1:1" x14ac:dyDescent="0.3">
      <c r="A475" s="1"/>
    </row>
    <row r="476" spans="1:1" x14ac:dyDescent="0.3">
      <c r="A476" s="1"/>
    </row>
    <row r="477" spans="1:1" x14ac:dyDescent="0.3">
      <c r="A477" s="1"/>
    </row>
    <row r="478" spans="1:1" x14ac:dyDescent="0.3">
      <c r="A478" s="1"/>
    </row>
    <row r="479" spans="1:1" x14ac:dyDescent="0.3">
      <c r="A479" s="1"/>
    </row>
    <row r="480" spans="1:1" x14ac:dyDescent="0.3">
      <c r="A480" s="1"/>
    </row>
    <row r="481" spans="1:4" x14ac:dyDescent="0.3">
      <c r="A481" s="1"/>
    </row>
    <row r="482" spans="1:4" x14ac:dyDescent="0.3">
      <c r="A482" s="1"/>
    </row>
    <row r="483" spans="1:4" x14ac:dyDescent="0.3">
      <c r="A483" s="1"/>
    </row>
    <row r="484" spans="1:4" x14ac:dyDescent="0.3">
      <c r="A484" s="1"/>
    </row>
    <row r="485" spans="1:4" x14ac:dyDescent="0.3">
      <c r="A485" s="1"/>
    </row>
    <row r="486" spans="1:4" x14ac:dyDescent="0.3">
      <c r="A486" s="1"/>
      <c r="B486" s="1"/>
      <c r="C486" s="1"/>
      <c r="D486" s="1"/>
    </row>
    <row r="487" spans="1:4" x14ac:dyDescent="0.3">
      <c r="A487" s="1"/>
      <c r="B487" s="1"/>
      <c r="C487" s="1"/>
      <c r="D487" s="1"/>
    </row>
    <row r="488" spans="1:4" x14ac:dyDescent="0.3">
      <c r="A488" s="1"/>
      <c r="B488" s="1"/>
      <c r="C488" s="1"/>
      <c r="D488" s="1"/>
    </row>
    <row r="489" spans="1:4" x14ac:dyDescent="0.3">
      <c r="A489" s="1"/>
      <c r="B489" s="1"/>
      <c r="C489" s="1"/>
      <c r="D489" s="1"/>
    </row>
    <row r="490" spans="1:4" x14ac:dyDescent="0.3">
      <c r="A490" s="1"/>
      <c r="B490" s="1"/>
      <c r="C490" s="1"/>
      <c r="D490" s="1"/>
    </row>
    <row r="491" spans="1:4" x14ac:dyDescent="0.3">
      <c r="A491" s="1"/>
      <c r="B491" s="1"/>
      <c r="C491" s="1"/>
      <c r="D491" s="1"/>
    </row>
    <row r="492" spans="1:4" x14ac:dyDescent="0.3">
      <c r="A492" s="1"/>
      <c r="B492" s="1"/>
      <c r="C492" s="1"/>
      <c r="D492" s="1"/>
    </row>
    <row r="493" spans="1:4" x14ac:dyDescent="0.3">
      <c r="A493" s="1"/>
    </row>
    <row r="494" spans="1:4" x14ac:dyDescent="0.3">
      <c r="A494" s="1"/>
    </row>
    <row r="495" spans="1:4" x14ac:dyDescent="0.3">
      <c r="A495" s="1"/>
    </row>
    <row r="496" spans="1:4" x14ac:dyDescent="0.3">
      <c r="A496" s="1"/>
    </row>
    <row r="497" spans="1:4" x14ac:dyDescent="0.3">
      <c r="A497" s="1"/>
      <c r="B497" s="1"/>
      <c r="C497" s="1"/>
      <c r="D497" s="1"/>
    </row>
    <row r="498" spans="1:4" x14ac:dyDescent="0.3">
      <c r="A498" s="1"/>
      <c r="B498" s="1"/>
      <c r="C498" s="1"/>
      <c r="D498" s="1"/>
    </row>
    <row r="499" spans="1:4" x14ac:dyDescent="0.3">
      <c r="A499" s="1"/>
      <c r="B499" s="1"/>
      <c r="C499" s="1"/>
      <c r="D499" s="1"/>
    </row>
    <row r="500" spans="1:4" x14ac:dyDescent="0.3">
      <c r="A500" s="1"/>
      <c r="B500" s="1"/>
      <c r="C500" s="1"/>
      <c r="D500" s="1"/>
    </row>
    <row r="501" spans="1:4" x14ac:dyDescent="0.3">
      <c r="A501" s="1"/>
      <c r="B501" s="1"/>
      <c r="C501" s="1"/>
      <c r="D501" s="1"/>
    </row>
    <row r="502" spans="1:4" x14ac:dyDescent="0.3">
      <c r="A502" s="1"/>
      <c r="B502" s="1"/>
      <c r="C502" s="1"/>
      <c r="D502" s="1"/>
    </row>
    <row r="503" spans="1:4" x14ac:dyDescent="0.3">
      <c r="A503" s="1"/>
      <c r="B503" s="1"/>
      <c r="C503" s="1"/>
      <c r="D503" s="1"/>
    </row>
    <row r="504" spans="1:4" x14ac:dyDescent="0.3">
      <c r="A504" s="1"/>
      <c r="B504" s="1"/>
      <c r="C504" s="1"/>
      <c r="D504" s="1"/>
    </row>
    <row r="505" spans="1:4" x14ac:dyDescent="0.3">
      <c r="A505" s="1"/>
      <c r="B505" s="1"/>
      <c r="C505" s="1"/>
      <c r="D505" s="1"/>
    </row>
    <row r="506" spans="1:4" x14ac:dyDescent="0.3">
      <c r="A506" s="1"/>
      <c r="B506" s="1"/>
      <c r="C506" s="1"/>
      <c r="D506" s="1"/>
    </row>
    <row r="507" spans="1:4" x14ac:dyDescent="0.3">
      <c r="A507" s="1"/>
      <c r="B507" s="1"/>
      <c r="C507" s="1"/>
      <c r="D507" s="1"/>
    </row>
    <row r="508" spans="1:4" x14ac:dyDescent="0.3">
      <c r="A508" s="1"/>
    </row>
    <row r="509" spans="1:4" x14ac:dyDescent="0.3">
      <c r="A509" s="1"/>
      <c r="B509" s="1"/>
      <c r="C509" s="1"/>
      <c r="D509" s="1"/>
    </row>
    <row r="510" spans="1:4" x14ac:dyDescent="0.3">
      <c r="A510" s="1"/>
      <c r="B510" s="1"/>
      <c r="C510" s="1"/>
      <c r="D510" s="1"/>
    </row>
    <row r="511" spans="1:4" x14ac:dyDescent="0.3">
      <c r="A511" s="1"/>
    </row>
    <row r="512" spans="1:4" x14ac:dyDescent="0.3">
      <c r="A512" s="1"/>
    </row>
    <row r="513" spans="1:4" x14ac:dyDescent="0.3">
      <c r="A513" s="1"/>
    </row>
    <row r="514" spans="1:4" x14ac:dyDescent="0.3">
      <c r="A514" s="1"/>
    </row>
    <row r="515" spans="1:4" x14ac:dyDescent="0.3">
      <c r="A515" s="1"/>
      <c r="B515" s="1"/>
      <c r="C515" s="1"/>
      <c r="D515" s="1"/>
    </row>
    <row r="516" spans="1:4" x14ac:dyDescent="0.3">
      <c r="A516" s="1"/>
      <c r="B516" s="1"/>
      <c r="C516" s="1"/>
      <c r="D516" s="1"/>
    </row>
    <row r="517" spans="1:4" x14ac:dyDescent="0.3">
      <c r="A517" s="1"/>
      <c r="B517" s="1"/>
      <c r="C517" s="1"/>
      <c r="D517" s="1"/>
    </row>
    <row r="518" spans="1:4" x14ac:dyDescent="0.3">
      <c r="A518" s="1"/>
      <c r="B518" s="1"/>
      <c r="C518" s="1"/>
      <c r="D518" s="1"/>
    </row>
    <row r="519" spans="1:4" x14ac:dyDescent="0.3">
      <c r="A519" s="1"/>
    </row>
    <row r="520" spans="1:4" x14ac:dyDescent="0.3">
      <c r="A520" s="1"/>
    </row>
    <row r="521" spans="1:4" x14ac:dyDescent="0.3">
      <c r="A521" s="1"/>
      <c r="B521" s="1"/>
      <c r="C521" s="1"/>
      <c r="D521" s="1"/>
    </row>
    <row r="522" spans="1:4" x14ac:dyDescent="0.3">
      <c r="A522" s="1"/>
      <c r="B522" s="1"/>
      <c r="C522" s="1"/>
      <c r="D522" s="1"/>
    </row>
    <row r="523" spans="1:4" x14ac:dyDescent="0.3">
      <c r="A523" s="1"/>
      <c r="B523" s="1"/>
      <c r="C523" s="1"/>
      <c r="D523" s="1"/>
    </row>
    <row r="524" spans="1:4" x14ac:dyDescent="0.3">
      <c r="A524" s="1"/>
    </row>
    <row r="525" spans="1:4" x14ac:dyDescent="0.3">
      <c r="A525" s="1"/>
    </row>
    <row r="526" spans="1:4" x14ac:dyDescent="0.3">
      <c r="A526" s="1"/>
    </row>
    <row r="527" spans="1:4" x14ac:dyDescent="0.3">
      <c r="A527" s="1"/>
    </row>
    <row r="528" spans="1:4" x14ac:dyDescent="0.3">
      <c r="A528" s="1"/>
    </row>
    <row r="529" spans="1:1" x14ac:dyDescent="0.3">
      <c r="A529" s="1"/>
    </row>
    <row r="530" spans="1:1" x14ac:dyDescent="0.3">
      <c r="A530" s="1"/>
    </row>
    <row r="531" spans="1:1" x14ac:dyDescent="0.3">
      <c r="A531" s="1"/>
    </row>
    <row r="532" spans="1:1" x14ac:dyDescent="0.3">
      <c r="A532" s="1"/>
    </row>
    <row r="533" spans="1:1" x14ac:dyDescent="0.3">
      <c r="A533" s="1"/>
    </row>
    <row r="534" spans="1:1" x14ac:dyDescent="0.3">
      <c r="A534" s="1"/>
    </row>
    <row r="535" spans="1:1" x14ac:dyDescent="0.3">
      <c r="A535" s="1"/>
    </row>
    <row r="536" spans="1:1" x14ac:dyDescent="0.3">
      <c r="A536" s="1"/>
    </row>
    <row r="537" spans="1:1" x14ac:dyDescent="0.3">
      <c r="A537" s="1"/>
    </row>
    <row r="538" spans="1:1" x14ac:dyDescent="0.3">
      <c r="A538" s="1"/>
    </row>
    <row r="539" spans="1:1" x14ac:dyDescent="0.3">
      <c r="A539" s="1"/>
    </row>
    <row r="540" spans="1:1" x14ac:dyDescent="0.3">
      <c r="A540" s="1"/>
    </row>
    <row r="541" spans="1:1" x14ac:dyDescent="0.3">
      <c r="A541" s="1"/>
    </row>
    <row r="542" spans="1:1" x14ac:dyDescent="0.3">
      <c r="A542" s="1"/>
    </row>
    <row r="543" spans="1:1" x14ac:dyDescent="0.3">
      <c r="A543" s="1"/>
    </row>
    <row r="544" spans="1:1" x14ac:dyDescent="0.3">
      <c r="A544" s="1"/>
    </row>
    <row r="545" spans="1:4" x14ac:dyDescent="0.3">
      <c r="A545" s="1"/>
    </row>
    <row r="546" spans="1:4" x14ac:dyDescent="0.3">
      <c r="A546" s="1"/>
    </row>
    <row r="547" spans="1:4" x14ac:dyDescent="0.3">
      <c r="A547" s="1"/>
    </row>
    <row r="548" spans="1:4" x14ac:dyDescent="0.3">
      <c r="A548" s="1"/>
    </row>
    <row r="549" spans="1:4" x14ac:dyDescent="0.3">
      <c r="A549" s="1"/>
    </row>
    <row r="550" spans="1:4" x14ac:dyDescent="0.3">
      <c r="A550" s="1"/>
      <c r="B550" s="1"/>
      <c r="C550" s="1"/>
      <c r="D550" s="1"/>
    </row>
    <row r="684" spans="1:1" x14ac:dyDescent="0.3">
      <c r="A684" s="1"/>
    </row>
    <row r="685" spans="1:1" x14ac:dyDescent="0.3">
      <c r="A685" s="1"/>
    </row>
    <row r="686" spans="1:1" x14ac:dyDescent="0.3">
      <c r="A686" s="1"/>
    </row>
    <row r="687" spans="1:1" x14ac:dyDescent="0.3">
      <c r="A687" s="1"/>
    </row>
    <row r="688" spans="1:1" x14ac:dyDescent="0.3">
      <c r="A688" s="1"/>
    </row>
    <row r="689" spans="1:1" x14ac:dyDescent="0.3">
      <c r="A689" s="1"/>
    </row>
    <row r="690" spans="1:1" x14ac:dyDescent="0.3">
      <c r="A690" s="1"/>
    </row>
    <row r="691" spans="1:1" x14ac:dyDescent="0.3">
      <c r="A691" s="1"/>
    </row>
    <row r="692" spans="1:1" x14ac:dyDescent="0.3">
      <c r="A692" s="1"/>
    </row>
    <row r="693" spans="1:1" x14ac:dyDescent="0.3">
      <c r="A693" s="1"/>
    </row>
    <row r="694" spans="1:1" x14ac:dyDescent="0.3">
      <c r="A694" s="1"/>
    </row>
    <row r="695" spans="1:1" x14ac:dyDescent="0.3">
      <c r="A695" s="1"/>
    </row>
    <row r="696" spans="1:1" x14ac:dyDescent="0.3">
      <c r="A696" s="1"/>
    </row>
    <row r="697" spans="1:1" x14ac:dyDescent="0.3">
      <c r="A697" s="1"/>
    </row>
    <row r="698" spans="1:1" x14ac:dyDescent="0.3">
      <c r="A698" s="1"/>
    </row>
    <row r="699" spans="1:1" x14ac:dyDescent="0.3">
      <c r="A699" s="1"/>
    </row>
    <row r="700" spans="1:1" x14ac:dyDescent="0.3">
      <c r="A700" s="1"/>
    </row>
    <row r="701" spans="1:1" x14ac:dyDescent="0.3">
      <c r="A701" s="1"/>
    </row>
    <row r="702" spans="1:1" x14ac:dyDescent="0.3">
      <c r="A702" s="1"/>
    </row>
    <row r="703" spans="1:1" x14ac:dyDescent="0.3">
      <c r="A703" s="1"/>
    </row>
    <row r="704" spans="1:1" x14ac:dyDescent="0.3">
      <c r="A704" s="1"/>
    </row>
    <row r="705" spans="1:4" x14ac:dyDescent="0.3">
      <c r="A705" s="1"/>
    </row>
    <row r="706" spans="1:4" x14ac:dyDescent="0.3">
      <c r="A706" s="1"/>
    </row>
    <row r="707" spans="1:4" x14ac:dyDescent="0.3">
      <c r="A707" s="1"/>
    </row>
    <row r="708" spans="1:4" x14ac:dyDescent="0.3">
      <c r="A708" s="1"/>
    </row>
    <row r="709" spans="1:4" x14ac:dyDescent="0.3">
      <c r="A709" s="1"/>
    </row>
    <row r="710" spans="1:4" x14ac:dyDescent="0.3">
      <c r="A710" s="1"/>
    </row>
    <row r="711" spans="1:4" x14ac:dyDescent="0.3">
      <c r="A711" s="1"/>
    </row>
    <row r="712" spans="1:4" x14ac:dyDescent="0.3">
      <c r="A712" s="1"/>
    </row>
    <row r="713" spans="1:4" x14ac:dyDescent="0.3">
      <c r="A713" s="1"/>
    </row>
    <row r="714" spans="1:4" x14ac:dyDescent="0.3">
      <c r="A714" s="1"/>
    </row>
    <row r="715" spans="1:4" x14ac:dyDescent="0.3">
      <c r="A715" s="1"/>
    </row>
    <row r="716" spans="1:4" x14ac:dyDescent="0.3">
      <c r="A716" s="1"/>
    </row>
    <row r="717" spans="1:4" x14ac:dyDescent="0.3">
      <c r="A717" s="1"/>
    </row>
    <row r="718" spans="1:4" x14ac:dyDescent="0.3">
      <c r="A718" s="1"/>
    </row>
    <row r="719" spans="1:4" x14ac:dyDescent="0.3">
      <c r="A719" s="1"/>
    </row>
    <row r="720" spans="1:4" x14ac:dyDescent="0.3">
      <c r="A720" s="1"/>
      <c r="B720" s="1"/>
      <c r="C720" s="1"/>
      <c r="D720" s="1"/>
    </row>
    <row r="721" spans="1:4" x14ac:dyDescent="0.3">
      <c r="A721" s="1"/>
      <c r="B721" s="1"/>
      <c r="C721" s="1"/>
      <c r="D721" s="1"/>
    </row>
    <row r="722" spans="1:4" x14ac:dyDescent="0.3">
      <c r="A722" s="1"/>
      <c r="B722" s="1"/>
      <c r="C722" s="1"/>
      <c r="D722" s="1"/>
    </row>
    <row r="723" spans="1:4" x14ac:dyDescent="0.3">
      <c r="A723" s="1"/>
    </row>
    <row r="724" spans="1:4" x14ac:dyDescent="0.3">
      <c r="A724" s="1"/>
    </row>
    <row r="725" spans="1:4" x14ac:dyDescent="0.3">
      <c r="A725" s="1"/>
      <c r="B725" s="1"/>
      <c r="C725" s="1"/>
      <c r="D725" s="1"/>
    </row>
    <row r="726" spans="1:4" x14ac:dyDescent="0.3">
      <c r="A726" s="1"/>
      <c r="B726" s="1"/>
      <c r="C726" s="1"/>
      <c r="D726" s="1"/>
    </row>
    <row r="727" spans="1:4" x14ac:dyDescent="0.3">
      <c r="A727" s="1"/>
      <c r="B727" s="1"/>
      <c r="C727" s="1"/>
      <c r="D727" s="1"/>
    </row>
    <row r="728" spans="1:4" x14ac:dyDescent="0.3">
      <c r="A728" s="1"/>
      <c r="B728" s="1"/>
      <c r="C728" s="1"/>
      <c r="D728" s="1"/>
    </row>
    <row r="729" spans="1:4" x14ac:dyDescent="0.3">
      <c r="A729" s="1"/>
      <c r="B729" s="1"/>
      <c r="C729" s="1"/>
      <c r="D729" s="1"/>
    </row>
    <row r="730" spans="1:4" x14ac:dyDescent="0.3">
      <c r="A730" s="1"/>
      <c r="B730" s="1"/>
      <c r="C730" s="1"/>
      <c r="D730" s="1"/>
    </row>
    <row r="731" spans="1:4" x14ac:dyDescent="0.3">
      <c r="A731" s="1"/>
      <c r="B731" s="1"/>
      <c r="C731" s="1"/>
      <c r="D731" s="1"/>
    </row>
    <row r="732" spans="1:4" x14ac:dyDescent="0.3">
      <c r="A732" s="1"/>
      <c r="B732" s="1"/>
      <c r="C732" s="1"/>
      <c r="D732" s="1"/>
    </row>
    <row r="733" spans="1:4" x14ac:dyDescent="0.3">
      <c r="A733" s="1"/>
      <c r="B733" s="1"/>
      <c r="C733" s="1"/>
      <c r="D733" s="1"/>
    </row>
    <row r="734" spans="1:4" x14ac:dyDescent="0.3">
      <c r="A734" s="1"/>
      <c r="B734" s="1"/>
      <c r="C734" s="1"/>
      <c r="D734" s="1"/>
    </row>
    <row r="735" spans="1:4" x14ac:dyDescent="0.3">
      <c r="A735" s="1"/>
      <c r="B735" s="1"/>
      <c r="C735" s="1"/>
      <c r="D735" s="1"/>
    </row>
    <row r="736" spans="1:4" x14ac:dyDescent="0.3">
      <c r="A736" s="1"/>
      <c r="B736" s="1"/>
      <c r="C736" s="1"/>
      <c r="D736" s="1"/>
    </row>
    <row r="737" spans="1:4" x14ac:dyDescent="0.3">
      <c r="A737" s="1"/>
      <c r="B737" s="1"/>
      <c r="C737" s="1"/>
      <c r="D737" s="1"/>
    </row>
    <row r="738" spans="1:4" x14ac:dyDescent="0.3">
      <c r="A738" s="1"/>
      <c r="B738" s="1"/>
      <c r="C738" s="1"/>
      <c r="D738" s="1"/>
    </row>
    <row r="739" spans="1:4" x14ac:dyDescent="0.3">
      <c r="A739" s="1"/>
      <c r="B739" s="1"/>
      <c r="C739" s="1"/>
      <c r="D739" s="1"/>
    </row>
    <row r="740" spans="1:4" x14ac:dyDescent="0.3">
      <c r="A740" s="1"/>
      <c r="B740" s="1"/>
      <c r="C740" s="1"/>
      <c r="D740" s="1"/>
    </row>
    <row r="741" spans="1:4" x14ac:dyDescent="0.3">
      <c r="A741" s="1"/>
      <c r="B741" s="1"/>
      <c r="C741" s="1"/>
      <c r="D741" s="1"/>
    </row>
    <row r="742" spans="1:4" x14ac:dyDescent="0.3">
      <c r="A742" s="1"/>
      <c r="B742" s="1"/>
      <c r="C742" s="1"/>
      <c r="D742" s="1"/>
    </row>
    <row r="743" spans="1:4" x14ac:dyDescent="0.3">
      <c r="A743" s="1"/>
      <c r="B743" s="1"/>
      <c r="C743" s="1"/>
      <c r="D743" s="1"/>
    </row>
    <row r="744" spans="1:4" x14ac:dyDescent="0.3">
      <c r="A744" s="1"/>
      <c r="B744" s="1"/>
      <c r="C744" s="1"/>
      <c r="D744" s="1"/>
    </row>
    <row r="745" spans="1:4" x14ac:dyDescent="0.3">
      <c r="A745" s="1"/>
      <c r="B745" s="1"/>
      <c r="C745" s="1"/>
      <c r="D745" s="1"/>
    </row>
    <row r="746" spans="1:4" x14ac:dyDescent="0.3">
      <c r="A746" s="1"/>
      <c r="B746" s="1"/>
      <c r="C746" s="1"/>
      <c r="D746" s="1"/>
    </row>
    <row r="747" spans="1:4" x14ac:dyDescent="0.3">
      <c r="A747" s="1"/>
      <c r="B747" s="1"/>
      <c r="C747" s="1"/>
      <c r="D747" s="1"/>
    </row>
    <row r="748" spans="1:4" x14ac:dyDescent="0.3">
      <c r="A748" s="1"/>
      <c r="B748" s="1"/>
      <c r="C748" s="1"/>
      <c r="D748" s="1"/>
    </row>
    <row r="749" spans="1:4" x14ac:dyDescent="0.3">
      <c r="A749" s="1"/>
      <c r="B749" s="1"/>
      <c r="C749" s="1"/>
      <c r="D749" s="1"/>
    </row>
    <row r="750" spans="1:4" x14ac:dyDescent="0.3">
      <c r="A750" s="1"/>
    </row>
    <row r="751" spans="1:4" x14ac:dyDescent="0.3">
      <c r="A751" s="1"/>
    </row>
    <row r="752" spans="1:4" x14ac:dyDescent="0.3">
      <c r="A752" s="1"/>
    </row>
    <row r="753" spans="1:4" x14ac:dyDescent="0.3">
      <c r="A753" s="1"/>
    </row>
    <row r="754" spans="1:4" x14ac:dyDescent="0.3">
      <c r="A754" s="1"/>
    </row>
    <row r="755" spans="1:4" x14ac:dyDescent="0.3">
      <c r="A755" s="1"/>
      <c r="B755" s="1"/>
      <c r="C755" s="1"/>
      <c r="D755" s="1"/>
    </row>
    <row r="756" spans="1:4" x14ac:dyDescent="0.3">
      <c r="A756" s="1"/>
    </row>
    <row r="757" spans="1:4" x14ac:dyDescent="0.3">
      <c r="A757" s="1"/>
    </row>
    <row r="758" spans="1:4" x14ac:dyDescent="0.3">
      <c r="A758" s="1"/>
    </row>
    <row r="759" spans="1:4" x14ac:dyDescent="0.3">
      <c r="A759" s="1"/>
      <c r="B759" s="1"/>
      <c r="C759" s="1"/>
      <c r="D759" s="1"/>
    </row>
    <row r="760" spans="1:4" x14ac:dyDescent="0.3">
      <c r="A760" s="1"/>
      <c r="B760" s="1"/>
      <c r="C760" s="1"/>
      <c r="D760" s="1"/>
    </row>
    <row r="761" spans="1:4" x14ac:dyDescent="0.3">
      <c r="A761" s="1"/>
      <c r="B761" s="1"/>
      <c r="C761" s="1"/>
      <c r="D761" s="1"/>
    </row>
    <row r="762" spans="1:4" x14ac:dyDescent="0.3">
      <c r="A762" s="1"/>
      <c r="B762" s="1"/>
      <c r="C762" s="1"/>
      <c r="D762" s="1"/>
    </row>
    <row r="763" spans="1:4" x14ac:dyDescent="0.3">
      <c r="A763" s="1"/>
      <c r="B763" s="1"/>
      <c r="C763" s="1"/>
      <c r="D763" s="1"/>
    </row>
    <row r="764" spans="1:4" x14ac:dyDescent="0.3">
      <c r="A764" s="1"/>
      <c r="B764" s="1"/>
      <c r="C764" s="1"/>
      <c r="D764" s="1"/>
    </row>
    <row r="765" spans="1:4" x14ac:dyDescent="0.3">
      <c r="A765" s="1"/>
    </row>
    <row r="766" spans="1:4" x14ac:dyDescent="0.3">
      <c r="A766" s="1"/>
      <c r="B766" s="1"/>
      <c r="C766" s="1"/>
      <c r="D766" s="1"/>
    </row>
    <row r="767" spans="1:4" x14ac:dyDescent="0.3">
      <c r="A767" s="1"/>
      <c r="B767" s="1"/>
      <c r="C767" s="1"/>
      <c r="D767" s="1"/>
    </row>
    <row r="768" spans="1:4" x14ac:dyDescent="0.3">
      <c r="A768" s="1"/>
      <c r="B768" s="1"/>
      <c r="C768" s="1"/>
      <c r="D768" s="1"/>
    </row>
    <row r="769" spans="1:4" x14ac:dyDescent="0.3">
      <c r="A769" s="1"/>
      <c r="B769" s="1"/>
      <c r="C769" s="1"/>
      <c r="D769" s="1"/>
    </row>
    <row r="770" spans="1:4" x14ac:dyDescent="0.3">
      <c r="A770" s="1"/>
      <c r="B770" s="1"/>
      <c r="C770" s="1"/>
      <c r="D770" s="1"/>
    </row>
    <row r="771" spans="1:4" x14ac:dyDescent="0.3">
      <c r="A771" s="1"/>
    </row>
    <row r="772" spans="1:4" x14ac:dyDescent="0.3">
      <c r="A772" s="1"/>
    </row>
    <row r="773" spans="1:4" x14ac:dyDescent="0.3">
      <c r="A773" s="1"/>
      <c r="B773" s="1"/>
      <c r="C773" s="1"/>
      <c r="D773" s="1"/>
    </row>
    <row r="774" spans="1:4" x14ac:dyDescent="0.3">
      <c r="A774" s="1"/>
      <c r="B774" s="1"/>
      <c r="C774" s="1"/>
      <c r="D774" s="1"/>
    </row>
    <row r="775" spans="1:4" x14ac:dyDescent="0.3">
      <c r="A775" s="1"/>
      <c r="B775" s="1"/>
      <c r="C775" s="1"/>
      <c r="D775" s="1"/>
    </row>
    <row r="776" spans="1:4" x14ac:dyDescent="0.3">
      <c r="A776" s="1"/>
    </row>
    <row r="777" spans="1:4" x14ac:dyDescent="0.3">
      <c r="A777" s="1"/>
    </row>
    <row r="778" spans="1:4" x14ac:dyDescent="0.3">
      <c r="A778" s="1"/>
    </row>
    <row r="779" spans="1:4" x14ac:dyDescent="0.3">
      <c r="A779" s="1"/>
    </row>
    <row r="780" spans="1:4" x14ac:dyDescent="0.3">
      <c r="A780" s="1"/>
    </row>
    <row r="781" spans="1:4" x14ac:dyDescent="0.3">
      <c r="A781" s="1"/>
    </row>
    <row r="782" spans="1:4" x14ac:dyDescent="0.3">
      <c r="A782" s="1"/>
    </row>
    <row r="783" spans="1:4" x14ac:dyDescent="0.3">
      <c r="A783" s="1"/>
    </row>
    <row r="784" spans="1:4" x14ac:dyDescent="0.3">
      <c r="A784" s="1"/>
    </row>
    <row r="785" spans="1:1" x14ac:dyDescent="0.3">
      <c r="A785" s="1"/>
    </row>
    <row r="786" spans="1:1" x14ac:dyDescent="0.3">
      <c r="A786" s="1"/>
    </row>
    <row r="787" spans="1:1" x14ac:dyDescent="0.3">
      <c r="A787" s="1"/>
    </row>
    <row r="788" spans="1:1" x14ac:dyDescent="0.3">
      <c r="A788" s="1"/>
    </row>
    <row r="789" spans="1:1" x14ac:dyDescent="0.3">
      <c r="A789" s="1"/>
    </row>
    <row r="790" spans="1:1" x14ac:dyDescent="0.3">
      <c r="A790" s="1"/>
    </row>
    <row r="791" spans="1:1" x14ac:dyDescent="0.3">
      <c r="A791" s="1"/>
    </row>
    <row r="792" spans="1:1" x14ac:dyDescent="0.3">
      <c r="A792" s="1"/>
    </row>
    <row r="793" spans="1:1" x14ac:dyDescent="0.3">
      <c r="A793" s="1"/>
    </row>
    <row r="794" spans="1:1" x14ac:dyDescent="0.3">
      <c r="A794" s="1"/>
    </row>
    <row r="795" spans="1:1" x14ac:dyDescent="0.3">
      <c r="A795" s="1"/>
    </row>
    <row r="796" spans="1:1" x14ac:dyDescent="0.3">
      <c r="A796" s="1"/>
    </row>
    <row r="797" spans="1:1" x14ac:dyDescent="0.3">
      <c r="A797" s="1"/>
    </row>
    <row r="798" spans="1:1" x14ac:dyDescent="0.3">
      <c r="A798" s="1"/>
    </row>
    <row r="799" spans="1:1" x14ac:dyDescent="0.3">
      <c r="A799" s="1"/>
    </row>
    <row r="800" spans="1:1" x14ac:dyDescent="0.3">
      <c r="A800" s="1"/>
    </row>
    <row r="801" spans="1:4" x14ac:dyDescent="0.3">
      <c r="A801" s="1"/>
    </row>
    <row r="802" spans="1:4" x14ac:dyDescent="0.3">
      <c r="A802" s="1"/>
    </row>
    <row r="803" spans="1:4" x14ac:dyDescent="0.3">
      <c r="A803" s="1"/>
    </row>
    <row r="804" spans="1:4" x14ac:dyDescent="0.3">
      <c r="A804" s="1"/>
    </row>
    <row r="805" spans="1:4" x14ac:dyDescent="0.3">
      <c r="A805" s="1"/>
    </row>
    <row r="806" spans="1:4" x14ac:dyDescent="0.3">
      <c r="A806" s="1"/>
      <c r="B806" s="1"/>
      <c r="C806" s="1"/>
      <c r="D806" s="1"/>
    </row>
    <row r="807" spans="1:4" x14ac:dyDescent="0.3">
      <c r="A807" s="1"/>
      <c r="B807" s="1"/>
      <c r="C807" s="1"/>
      <c r="D807" s="1"/>
    </row>
    <row r="808" spans="1:4" x14ac:dyDescent="0.3">
      <c r="A808" s="1"/>
      <c r="B808" s="1"/>
      <c r="C808" s="1"/>
      <c r="D808" s="1"/>
    </row>
    <row r="809" spans="1:4" x14ac:dyDescent="0.3">
      <c r="A809" s="1"/>
    </row>
    <row r="810" spans="1:4" x14ac:dyDescent="0.3">
      <c r="A810" s="1"/>
    </row>
    <row r="811" spans="1:4" x14ac:dyDescent="0.3">
      <c r="A811" s="1"/>
    </row>
    <row r="812" spans="1:4" x14ac:dyDescent="0.3">
      <c r="A812" s="1"/>
    </row>
    <row r="813" spans="1:4" x14ac:dyDescent="0.3">
      <c r="A813" s="1"/>
    </row>
    <row r="814" spans="1:4" x14ac:dyDescent="0.3">
      <c r="A814" s="1"/>
    </row>
    <row r="815" spans="1:4" x14ac:dyDescent="0.3">
      <c r="A815" s="1"/>
    </row>
    <row r="816" spans="1:4" x14ac:dyDescent="0.3">
      <c r="A816" s="1"/>
    </row>
    <row r="817" spans="1:1" x14ac:dyDescent="0.3">
      <c r="A817" s="1"/>
    </row>
    <row r="818" spans="1:1" x14ac:dyDescent="0.3">
      <c r="A818" s="1"/>
    </row>
    <row r="819" spans="1:1" x14ac:dyDescent="0.3">
      <c r="A819" s="1"/>
    </row>
    <row r="820" spans="1:1" x14ac:dyDescent="0.3">
      <c r="A820" s="1"/>
    </row>
    <row r="821" spans="1:1" x14ac:dyDescent="0.3">
      <c r="A821" s="1"/>
    </row>
    <row r="822" spans="1:1" x14ac:dyDescent="0.3">
      <c r="A822" s="1"/>
    </row>
    <row r="823" spans="1:1" x14ac:dyDescent="0.3">
      <c r="A823" s="1"/>
    </row>
    <row r="824" spans="1:1" x14ac:dyDescent="0.3">
      <c r="A824" s="1"/>
    </row>
    <row r="825" spans="1:1" x14ac:dyDescent="0.3">
      <c r="A825" s="1"/>
    </row>
    <row r="826" spans="1:1" x14ac:dyDescent="0.3">
      <c r="A826" s="1"/>
    </row>
    <row r="827" spans="1:1" x14ac:dyDescent="0.3">
      <c r="A827" s="1"/>
    </row>
    <row r="828" spans="1:1" x14ac:dyDescent="0.3">
      <c r="A828" s="1"/>
    </row>
    <row r="829" spans="1:1" x14ac:dyDescent="0.3">
      <c r="A829" s="1"/>
    </row>
    <row r="830" spans="1:1" x14ac:dyDescent="0.3">
      <c r="A830" s="1"/>
    </row>
    <row r="831" spans="1:1" x14ac:dyDescent="0.3">
      <c r="A831" s="1"/>
    </row>
    <row r="832" spans="1:1" x14ac:dyDescent="0.3">
      <c r="A832" s="1"/>
    </row>
    <row r="833" spans="1:1" x14ac:dyDescent="0.3">
      <c r="A833" s="1"/>
    </row>
    <row r="834" spans="1:1" x14ac:dyDescent="0.3">
      <c r="A834" s="1"/>
    </row>
    <row r="835" spans="1:1" x14ac:dyDescent="0.3">
      <c r="A835" s="1"/>
    </row>
    <row r="836" spans="1:1" x14ac:dyDescent="0.3">
      <c r="A836" s="1"/>
    </row>
    <row r="837" spans="1:1" x14ac:dyDescent="0.3">
      <c r="A837" s="1"/>
    </row>
    <row r="838" spans="1:1" x14ac:dyDescent="0.3">
      <c r="A838" s="1"/>
    </row>
    <row r="839" spans="1:1" x14ac:dyDescent="0.3">
      <c r="A839" s="1"/>
    </row>
    <row r="840" spans="1:1" x14ac:dyDescent="0.3">
      <c r="A840" s="1"/>
    </row>
    <row r="841" spans="1:1" x14ac:dyDescent="0.3">
      <c r="A841" s="1"/>
    </row>
    <row r="842" spans="1:1" x14ac:dyDescent="0.3">
      <c r="A842" s="1"/>
    </row>
    <row r="843" spans="1:1" x14ac:dyDescent="0.3">
      <c r="A843" s="1"/>
    </row>
    <row r="844" spans="1:1" x14ac:dyDescent="0.3">
      <c r="A844" s="1"/>
    </row>
    <row r="845" spans="1:1" x14ac:dyDescent="0.3">
      <c r="A845" s="1"/>
    </row>
    <row r="846" spans="1:1" x14ac:dyDescent="0.3">
      <c r="A846" s="1"/>
    </row>
    <row r="847" spans="1:1" x14ac:dyDescent="0.3">
      <c r="A847" s="1"/>
    </row>
    <row r="848" spans="1:1" x14ac:dyDescent="0.3">
      <c r="A848" s="1"/>
    </row>
    <row r="849" spans="1:4" x14ac:dyDescent="0.3">
      <c r="A849" s="1"/>
    </row>
    <row r="850" spans="1:4" x14ac:dyDescent="0.3">
      <c r="A850" s="1"/>
    </row>
    <row r="851" spans="1:4" x14ac:dyDescent="0.3">
      <c r="A851" s="1"/>
    </row>
    <row r="852" spans="1:4" x14ac:dyDescent="0.3">
      <c r="A852" s="1"/>
    </row>
    <row r="853" spans="1:4" x14ac:dyDescent="0.3">
      <c r="A853" s="1"/>
    </row>
    <row r="854" spans="1:4" x14ac:dyDescent="0.3">
      <c r="A854" s="1"/>
    </row>
    <row r="855" spans="1:4" x14ac:dyDescent="0.3">
      <c r="A855" s="1"/>
    </row>
    <row r="856" spans="1:4" x14ac:dyDescent="0.3">
      <c r="A856" s="1"/>
      <c r="B856" s="1"/>
      <c r="C856" s="1"/>
      <c r="D856" s="1"/>
    </row>
    <row r="857" spans="1:4" x14ac:dyDescent="0.3">
      <c r="A857" s="1"/>
    </row>
    <row r="858" spans="1:4" x14ac:dyDescent="0.3">
      <c r="A858" s="1"/>
    </row>
    <row r="859" spans="1:4" x14ac:dyDescent="0.3">
      <c r="A859" s="1"/>
      <c r="B859" s="1"/>
      <c r="C859" s="1"/>
      <c r="D859" s="1"/>
    </row>
    <row r="860" spans="1:4" x14ac:dyDescent="0.3">
      <c r="A860" s="1"/>
      <c r="B860" s="1"/>
      <c r="C860" s="1"/>
      <c r="D860" s="1"/>
    </row>
    <row r="861" spans="1:4" x14ac:dyDescent="0.3">
      <c r="A861" s="1"/>
    </row>
    <row r="862" spans="1:4" x14ac:dyDescent="0.3">
      <c r="A862" s="1"/>
    </row>
    <row r="863" spans="1:4" x14ac:dyDescent="0.3">
      <c r="A863" s="1"/>
      <c r="B863" s="1"/>
      <c r="C863" s="1"/>
      <c r="D863" s="1"/>
    </row>
    <row r="864" spans="1:4" x14ac:dyDescent="0.3">
      <c r="A864" s="1"/>
      <c r="B864" s="1"/>
      <c r="C864" s="1"/>
      <c r="D864" s="1"/>
    </row>
    <row r="865" spans="1:4" x14ac:dyDescent="0.3">
      <c r="A865" s="1"/>
      <c r="B865" s="1"/>
      <c r="C865" s="1"/>
      <c r="D865" s="1"/>
    </row>
    <row r="866" spans="1:4" x14ac:dyDescent="0.3">
      <c r="A866" s="1"/>
      <c r="B866" s="1"/>
      <c r="C866" s="1"/>
      <c r="D866" s="1"/>
    </row>
    <row r="867" spans="1:4" x14ac:dyDescent="0.3">
      <c r="A867" s="1"/>
      <c r="B867" s="1"/>
      <c r="C867" s="1"/>
      <c r="D867" s="1"/>
    </row>
    <row r="868" spans="1:4" x14ac:dyDescent="0.3">
      <c r="A868" s="1"/>
      <c r="B868" s="1"/>
      <c r="C868" s="1"/>
      <c r="D868" s="1"/>
    </row>
    <row r="869" spans="1:4" x14ac:dyDescent="0.3">
      <c r="A869" s="1"/>
      <c r="B869" s="1"/>
      <c r="C869" s="1"/>
      <c r="D869" s="1"/>
    </row>
    <row r="870" spans="1:4" x14ac:dyDescent="0.3">
      <c r="A870" s="1"/>
      <c r="B870" s="1"/>
      <c r="C870" s="1"/>
      <c r="D870" s="1"/>
    </row>
    <row r="871" spans="1:4" x14ac:dyDescent="0.3">
      <c r="A871" s="1"/>
      <c r="B871" s="1"/>
      <c r="C871" s="1"/>
      <c r="D871" s="1"/>
    </row>
    <row r="872" spans="1:4" x14ac:dyDescent="0.3">
      <c r="A872" s="1"/>
      <c r="B872" s="1"/>
      <c r="C872" s="1"/>
      <c r="D872" s="1"/>
    </row>
    <row r="873" spans="1:4" x14ac:dyDescent="0.3">
      <c r="A873" s="1"/>
      <c r="B873" s="1"/>
      <c r="C873" s="1"/>
      <c r="D873" s="1"/>
    </row>
    <row r="874" spans="1:4" x14ac:dyDescent="0.3">
      <c r="A874" s="1"/>
    </row>
    <row r="875" spans="1:4" x14ac:dyDescent="0.3">
      <c r="A875" s="1"/>
      <c r="B875" s="1"/>
      <c r="C875" s="1"/>
      <c r="D875" s="1"/>
    </row>
    <row r="876" spans="1:4" x14ac:dyDescent="0.3">
      <c r="A876" s="1"/>
      <c r="B876" s="1"/>
      <c r="C876" s="1"/>
      <c r="D876" s="1"/>
    </row>
    <row r="877" spans="1:4" x14ac:dyDescent="0.3">
      <c r="A877" s="1"/>
    </row>
    <row r="878" spans="1:4" x14ac:dyDescent="0.3">
      <c r="A878" s="1"/>
    </row>
    <row r="879" spans="1:4" x14ac:dyDescent="0.3">
      <c r="A879" s="1"/>
    </row>
    <row r="880" spans="1:4" x14ac:dyDescent="0.3">
      <c r="A880" s="1"/>
    </row>
    <row r="881" spans="1:1" x14ac:dyDescent="0.3">
      <c r="A881" s="1"/>
    </row>
    <row r="882" spans="1:1" x14ac:dyDescent="0.3">
      <c r="A882" s="1"/>
    </row>
    <row r="883" spans="1:1" x14ac:dyDescent="0.3">
      <c r="A883" s="1"/>
    </row>
    <row r="884" spans="1:1" x14ac:dyDescent="0.3">
      <c r="A884" s="1"/>
    </row>
    <row r="885" spans="1:1" x14ac:dyDescent="0.3">
      <c r="A885" s="1"/>
    </row>
    <row r="886" spans="1:1" x14ac:dyDescent="0.3">
      <c r="A886" s="1"/>
    </row>
    <row r="887" spans="1:1" x14ac:dyDescent="0.3">
      <c r="A887" s="1"/>
    </row>
    <row r="888" spans="1:1" x14ac:dyDescent="0.3">
      <c r="A888" s="1"/>
    </row>
    <row r="889" spans="1:1" x14ac:dyDescent="0.3">
      <c r="A889" s="1"/>
    </row>
    <row r="890" spans="1:1" x14ac:dyDescent="0.3">
      <c r="A890" s="1"/>
    </row>
    <row r="891" spans="1:1" x14ac:dyDescent="0.3">
      <c r="A891" s="1"/>
    </row>
    <row r="892" spans="1:1" x14ac:dyDescent="0.3">
      <c r="A892" s="1"/>
    </row>
    <row r="893" spans="1:1" x14ac:dyDescent="0.3">
      <c r="A893" s="1"/>
    </row>
    <row r="894" spans="1:1" x14ac:dyDescent="0.3">
      <c r="A894" s="1"/>
    </row>
    <row r="895" spans="1:1" x14ac:dyDescent="0.3">
      <c r="A895" s="1"/>
    </row>
    <row r="896" spans="1:1" x14ac:dyDescent="0.3">
      <c r="A896" s="1"/>
    </row>
    <row r="897" spans="1:4" x14ac:dyDescent="0.3">
      <c r="A897" s="1"/>
    </row>
    <row r="898" spans="1:4" x14ac:dyDescent="0.3">
      <c r="A898" s="1"/>
    </row>
    <row r="899" spans="1:4" x14ac:dyDescent="0.3">
      <c r="A899" s="1"/>
    </row>
    <row r="900" spans="1:4" x14ac:dyDescent="0.3">
      <c r="A900" s="1"/>
    </row>
    <row r="901" spans="1:4" x14ac:dyDescent="0.3">
      <c r="A901" s="1"/>
    </row>
    <row r="902" spans="1:4" x14ac:dyDescent="0.3">
      <c r="A902" s="1"/>
    </row>
    <row r="903" spans="1:4" x14ac:dyDescent="0.3">
      <c r="A903" s="1"/>
    </row>
    <row r="904" spans="1:4" x14ac:dyDescent="0.3">
      <c r="A904" s="1"/>
    </row>
    <row r="905" spans="1:4" x14ac:dyDescent="0.3">
      <c r="A905" s="1"/>
    </row>
    <row r="906" spans="1:4" x14ac:dyDescent="0.3">
      <c r="A906" s="1"/>
    </row>
    <row r="907" spans="1:4" x14ac:dyDescent="0.3">
      <c r="A907" s="1"/>
    </row>
    <row r="908" spans="1:4" x14ac:dyDescent="0.3">
      <c r="A908" s="1"/>
    </row>
    <row r="909" spans="1:4" x14ac:dyDescent="0.3">
      <c r="A909" s="1"/>
      <c r="B909" s="1"/>
      <c r="C909" s="1"/>
      <c r="D909" s="1"/>
    </row>
    <row r="910" spans="1:4" x14ac:dyDescent="0.3">
      <c r="A910" s="1"/>
      <c r="B910" s="1"/>
      <c r="C910" s="1"/>
      <c r="D910" s="1"/>
    </row>
    <row r="911" spans="1:4" x14ac:dyDescent="0.3">
      <c r="A911" s="1"/>
      <c r="B911" s="1"/>
      <c r="C911" s="1"/>
      <c r="D911" s="1"/>
    </row>
    <row r="912" spans="1:4" x14ac:dyDescent="0.3">
      <c r="A912" s="1"/>
    </row>
    <row r="913" spans="1:1" x14ac:dyDescent="0.3">
      <c r="A913" s="1"/>
    </row>
    <row r="914" spans="1:1" x14ac:dyDescent="0.3">
      <c r="A914" s="1"/>
    </row>
    <row r="915" spans="1:1" x14ac:dyDescent="0.3">
      <c r="A915" s="1"/>
    </row>
    <row r="916" spans="1:1" x14ac:dyDescent="0.3">
      <c r="A916" s="1"/>
    </row>
    <row r="917" spans="1:1" x14ac:dyDescent="0.3">
      <c r="A917" s="1"/>
    </row>
    <row r="918" spans="1:1" x14ac:dyDescent="0.3">
      <c r="A918" s="1"/>
    </row>
    <row r="919" spans="1:1" x14ac:dyDescent="0.3">
      <c r="A919" s="1"/>
    </row>
    <row r="920" spans="1:1" x14ac:dyDescent="0.3">
      <c r="A920" s="1"/>
    </row>
    <row r="921" spans="1:1" x14ac:dyDescent="0.3">
      <c r="A921" s="1"/>
    </row>
    <row r="922" spans="1:1" x14ac:dyDescent="0.3">
      <c r="A922" s="1"/>
    </row>
    <row r="923" spans="1:1" x14ac:dyDescent="0.3">
      <c r="A923" s="1"/>
    </row>
    <row r="924" spans="1:1" x14ac:dyDescent="0.3">
      <c r="A924" s="1"/>
    </row>
    <row r="925" spans="1:1" x14ac:dyDescent="0.3">
      <c r="A925" s="1"/>
    </row>
    <row r="926" spans="1:1" x14ac:dyDescent="0.3">
      <c r="A926" s="1"/>
    </row>
    <row r="927" spans="1:1" x14ac:dyDescent="0.3">
      <c r="A927" s="1"/>
    </row>
    <row r="928" spans="1:1" x14ac:dyDescent="0.3">
      <c r="A928" s="1"/>
    </row>
    <row r="929" spans="1:1" x14ac:dyDescent="0.3">
      <c r="A929" s="1"/>
    </row>
    <row r="930" spans="1:1" x14ac:dyDescent="0.3">
      <c r="A930" s="1"/>
    </row>
    <row r="931" spans="1:1" x14ac:dyDescent="0.3">
      <c r="A931" s="1"/>
    </row>
    <row r="932" spans="1:1" x14ac:dyDescent="0.3">
      <c r="A932" s="1"/>
    </row>
    <row r="933" spans="1:1" x14ac:dyDescent="0.3">
      <c r="A933" s="1"/>
    </row>
    <row r="934" spans="1:1" x14ac:dyDescent="0.3">
      <c r="A934" s="1"/>
    </row>
    <row r="935" spans="1:1" x14ac:dyDescent="0.3">
      <c r="A935" s="1"/>
    </row>
    <row r="936" spans="1:1" x14ac:dyDescent="0.3">
      <c r="A936" s="1"/>
    </row>
    <row r="937" spans="1:1" x14ac:dyDescent="0.3">
      <c r="A937" s="1"/>
    </row>
    <row r="938" spans="1:1" x14ac:dyDescent="0.3">
      <c r="A938" s="1"/>
    </row>
    <row r="939" spans="1:1" x14ac:dyDescent="0.3">
      <c r="A939" s="1"/>
    </row>
    <row r="940" spans="1:1" x14ac:dyDescent="0.3">
      <c r="A940" s="1"/>
    </row>
    <row r="941" spans="1:1" x14ac:dyDescent="0.3">
      <c r="A941" s="1"/>
    </row>
    <row r="942" spans="1:1" x14ac:dyDescent="0.3">
      <c r="A942" s="1"/>
    </row>
    <row r="943" spans="1:1" x14ac:dyDescent="0.3">
      <c r="A943" s="1"/>
    </row>
    <row r="944" spans="1:1" x14ac:dyDescent="0.3">
      <c r="A944" s="1"/>
    </row>
    <row r="945" spans="1:4" x14ac:dyDescent="0.3">
      <c r="A945" s="1"/>
    </row>
    <row r="946" spans="1:4" x14ac:dyDescent="0.3">
      <c r="A946" s="1"/>
    </row>
    <row r="947" spans="1:4" x14ac:dyDescent="0.3">
      <c r="A947" s="1"/>
      <c r="B947" s="1"/>
      <c r="C947" s="1"/>
      <c r="D947" s="1"/>
    </row>
    <row r="948" spans="1:4" x14ac:dyDescent="0.3">
      <c r="A948" s="1"/>
      <c r="B948" s="1"/>
      <c r="C948" s="1"/>
      <c r="D948" s="1"/>
    </row>
    <row r="949" spans="1:4" x14ac:dyDescent="0.3">
      <c r="A949" s="1"/>
      <c r="B949" s="1"/>
      <c r="C949" s="1"/>
      <c r="D949" s="1"/>
    </row>
    <row r="950" spans="1:4" x14ac:dyDescent="0.3">
      <c r="A950" s="1"/>
      <c r="B950" s="1"/>
      <c r="C950" s="1"/>
      <c r="D950" s="1"/>
    </row>
    <row r="951" spans="1:4" x14ac:dyDescent="0.3">
      <c r="A951" s="1"/>
      <c r="B951" s="1"/>
      <c r="C951" s="1"/>
      <c r="D951" s="1"/>
    </row>
    <row r="952" spans="1:4" x14ac:dyDescent="0.3">
      <c r="A952" s="1"/>
      <c r="B952" s="1"/>
      <c r="C952" s="1"/>
      <c r="D952" s="1"/>
    </row>
    <row r="953" spans="1:4" x14ac:dyDescent="0.3">
      <c r="A953" s="1"/>
      <c r="B953" s="1"/>
      <c r="C953" s="1"/>
      <c r="D953" s="1"/>
    </row>
    <row r="954" spans="1:4" x14ac:dyDescent="0.3">
      <c r="A954" s="1"/>
      <c r="B954" s="1"/>
      <c r="C954" s="1"/>
      <c r="D954" s="1"/>
    </row>
    <row r="955" spans="1:4" x14ac:dyDescent="0.3">
      <c r="A955" s="1"/>
      <c r="B955" s="1"/>
      <c r="C955" s="1"/>
      <c r="D955" s="1"/>
    </row>
    <row r="956" spans="1:4" x14ac:dyDescent="0.3">
      <c r="A956" s="1"/>
      <c r="B956" s="1"/>
      <c r="C956" s="1"/>
      <c r="D956" s="1"/>
    </row>
    <row r="957" spans="1:4" x14ac:dyDescent="0.3">
      <c r="A957" s="1"/>
      <c r="B957" s="1"/>
      <c r="C957" s="1"/>
      <c r="D957" s="1"/>
    </row>
    <row r="958" spans="1:4" x14ac:dyDescent="0.3">
      <c r="A958" s="1"/>
      <c r="B958" s="1"/>
      <c r="C958" s="1"/>
      <c r="D958" s="1"/>
    </row>
    <row r="959" spans="1:4" x14ac:dyDescent="0.3">
      <c r="A959" s="1"/>
      <c r="B959" s="1"/>
      <c r="C959" s="1"/>
      <c r="D959" s="1"/>
    </row>
    <row r="960" spans="1:4" x14ac:dyDescent="0.3">
      <c r="A960" s="1"/>
      <c r="B960" s="1"/>
      <c r="C960" s="1"/>
      <c r="D960" s="1"/>
    </row>
    <row r="961" spans="1:4" x14ac:dyDescent="0.3">
      <c r="A961" s="1"/>
      <c r="B961" s="1"/>
      <c r="C961" s="1"/>
      <c r="D961" s="1"/>
    </row>
    <row r="962" spans="1:4" x14ac:dyDescent="0.3">
      <c r="A962" s="1"/>
      <c r="B962" s="1"/>
      <c r="C962" s="1"/>
      <c r="D962" s="1"/>
    </row>
    <row r="963" spans="1:4" x14ac:dyDescent="0.3">
      <c r="A963" s="1"/>
      <c r="B963" s="1"/>
      <c r="C963" s="1"/>
      <c r="D963" s="1"/>
    </row>
    <row r="964" spans="1:4" x14ac:dyDescent="0.3">
      <c r="A964" s="1"/>
      <c r="B964" s="1"/>
      <c r="C964" s="1"/>
      <c r="D964" s="1"/>
    </row>
    <row r="965" spans="1:4" x14ac:dyDescent="0.3">
      <c r="A965" s="1"/>
      <c r="B965" s="1"/>
      <c r="C965" s="1"/>
      <c r="D965" s="1"/>
    </row>
    <row r="966" spans="1:4" x14ac:dyDescent="0.3">
      <c r="A966" s="1"/>
      <c r="B966" s="1"/>
      <c r="C966" s="1"/>
      <c r="D966" s="1"/>
    </row>
    <row r="967" spans="1:4" x14ac:dyDescent="0.3">
      <c r="A967" s="1"/>
      <c r="B967" s="1"/>
      <c r="C967" s="1"/>
      <c r="D967" s="1"/>
    </row>
    <row r="968" spans="1:4" x14ac:dyDescent="0.3">
      <c r="A968" s="1"/>
      <c r="B968" s="1"/>
      <c r="C968" s="1"/>
      <c r="D968" s="1"/>
    </row>
    <row r="969" spans="1:4" x14ac:dyDescent="0.3">
      <c r="A969" s="1"/>
      <c r="B969" s="1"/>
      <c r="C969" s="1"/>
      <c r="D969" s="1"/>
    </row>
    <row r="970" spans="1:4" x14ac:dyDescent="0.3">
      <c r="A970" s="1"/>
      <c r="B970" s="1"/>
      <c r="C970" s="1"/>
      <c r="D970" s="1"/>
    </row>
    <row r="971" spans="1:4" x14ac:dyDescent="0.3">
      <c r="A971" s="1"/>
    </row>
    <row r="972" spans="1:4" x14ac:dyDescent="0.3">
      <c r="A972" s="1"/>
    </row>
    <row r="973" spans="1:4" x14ac:dyDescent="0.3">
      <c r="A973" s="1"/>
    </row>
    <row r="974" spans="1:4" x14ac:dyDescent="0.3">
      <c r="A974" s="1"/>
      <c r="B974" s="1"/>
      <c r="C974" s="1"/>
      <c r="D974" s="1"/>
    </row>
    <row r="975" spans="1:4" x14ac:dyDescent="0.3">
      <c r="A975" s="1"/>
      <c r="B975" s="1"/>
      <c r="C975" s="1"/>
      <c r="D975" s="1"/>
    </row>
    <row r="976" spans="1:4" x14ac:dyDescent="0.3">
      <c r="A976" s="1"/>
      <c r="B976" s="1"/>
      <c r="C976" s="1"/>
      <c r="D976" s="1"/>
    </row>
    <row r="977" spans="1:1" x14ac:dyDescent="0.3">
      <c r="A977" s="1"/>
    </row>
    <row r="978" spans="1:1" x14ac:dyDescent="0.3">
      <c r="A978" s="1"/>
    </row>
    <row r="979" spans="1:1" x14ac:dyDescent="0.3">
      <c r="A979" s="1"/>
    </row>
    <row r="980" spans="1:1" x14ac:dyDescent="0.3">
      <c r="A980" s="1"/>
    </row>
    <row r="981" spans="1:1" x14ac:dyDescent="0.3">
      <c r="A981" s="1"/>
    </row>
    <row r="982" spans="1:1" x14ac:dyDescent="0.3">
      <c r="A982" s="1"/>
    </row>
    <row r="983" spans="1:1" x14ac:dyDescent="0.3">
      <c r="A983" s="1"/>
    </row>
    <row r="984" spans="1:1" x14ac:dyDescent="0.3">
      <c r="A984" s="1"/>
    </row>
    <row r="985" spans="1:1" x14ac:dyDescent="0.3">
      <c r="A985" s="1"/>
    </row>
    <row r="986" spans="1:1" x14ac:dyDescent="0.3">
      <c r="A986" s="1"/>
    </row>
    <row r="987" spans="1:1" x14ac:dyDescent="0.3">
      <c r="A987" s="1"/>
    </row>
    <row r="988" spans="1:1" x14ac:dyDescent="0.3">
      <c r="A988" s="1"/>
    </row>
    <row r="989" spans="1:1" x14ac:dyDescent="0.3">
      <c r="A989" s="1"/>
    </row>
    <row r="990" spans="1:1" x14ac:dyDescent="0.3">
      <c r="A990" s="1"/>
    </row>
    <row r="991" spans="1:1" x14ac:dyDescent="0.3">
      <c r="A991" s="1"/>
    </row>
    <row r="992" spans="1:1" x14ac:dyDescent="0.3">
      <c r="A992" s="1"/>
    </row>
    <row r="993" spans="1:1" x14ac:dyDescent="0.3">
      <c r="A993" s="1"/>
    </row>
    <row r="994" spans="1:1" x14ac:dyDescent="0.3">
      <c r="A994" s="1"/>
    </row>
    <row r="995" spans="1:1" x14ac:dyDescent="0.3">
      <c r="A995" s="1"/>
    </row>
    <row r="996" spans="1:1" x14ac:dyDescent="0.3">
      <c r="A996" s="1"/>
    </row>
    <row r="997" spans="1:1" x14ac:dyDescent="0.3">
      <c r="A997" s="1"/>
    </row>
    <row r="998" spans="1:1" x14ac:dyDescent="0.3">
      <c r="A998" s="1"/>
    </row>
    <row r="999" spans="1:1" x14ac:dyDescent="0.3">
      <c r="A999" s="1"/>
    </row>
    <row r="1000" spans="1:1" x14ac:dyDescent="0.3">
      <c r="A1000" s="1"/>
    </row>
    <row r="1001" spans="1:1" x14ac:dyDescent="0.3">
      <c r="A1001" s="1"/>
    </row>
    <row r="1002" spans="1:1" x14ac:dyDescent="0.3">
      <c r="A1002" s="1"/>
    </row>
    <row r="1003" spans="1:1" x14ac:dyDescent="0.3">
      <c r="A1003" s="1"/>
    </row>
    <row r="1004" spans="1:1" x14ac:dyDescent="0.3">
      <c r="A1004" s="1"/>
    </row>
    <row r="1005" spans="1:1" x14ac:dyDescent="0.3">
      <c r="A1005" s="1"/>
    </row>
    <row r="1006" spans="1:1" x14ac:dyDescent="0.3">
      <c r="A1006" s="1"/>
    </row>
    <row r="1007" spans="1:1" x14ac:dyDescent="0.3">
      <c r="A1007"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187"/>
  <sheetViews>
    <sheetView topLeftCell="A17" workbookViewId="0">
      <selection activeCell="I14" sqref="I14"/>
    </sheetView>
  </sheetViews>
  <sheetFormatPr defaultRowHeight="14.4" x14ac:dyDescent="0.3"/>
  <cols>
    <col min="2" max="2" width="20.21875" bestFit="1" customWidth="1"/>
    <col min="3" max="3" width="18.6640625" bestFit="1" customWidth="1"/>
    <col min="4" max="4" width="16.5546875" bestFit="1" customWidth="1"/>
    <col min="5" max="5" width="20" bestFit="1" customWidth="1"/>
    <col min="6" max="6" width="22.44140625" bestFit="1" customWidth="1"/>
    <col min="7" max="7" width="16.5546875" bestFit="1" customWidth="1"/>
    <col min="8" max="8" width="31.77734375" bestFit="1" customWidth="1"/>
    <col min="9" max="9" width="16.5546875" bestFit="1" customWidth="1"/>
    <col min="10" max="10" width="26.5546875" bestFit="1" customWidth="1"/>
    <col min="11" max="11" width="16.5546875" bestFit="1" customWidth="1"/>
    <col min="18" max="18" width="20.21875" bestFit="1" customWidth="1"/>
    <col min="19" max="19" width="18.6640625" bestFit="1" customWidth="1"/>
    <col min="20" max="20" width="16.5546875" bestFit="1" customWidth="1"/>
    <col min="21" max="21" width="20" bestFit="1" customWidth="1"/>
    <col min="22" max="22" width="22.44140625" bestFit="1" customWidth="1"/>
    <col min="23" max="23" width="16.5546875" bestFit="1" customWidth="1"/>
    <col min="24" max="24" width="31.77734375" bestFit="1" customWidth="1"/>
    <col min="25" max="25" width="16.5546875" bestFit="1" customWidth="1"/>
    <col min="26" max="26" width="26.5546875" bestFit="1" customWidth="1"/>
    <col min="27" max="27" width="16.5546875" bestFit="1" customWidth="1"/>
    <col min="30" max="30" width="31.21875" bestFit="1" customWidth="1"/>
    <col min="31" max="31" width="20.21875" bestFit="1" customWidth="1"/>
    <col min="32" max="32" width="18.6640625" bestFit="1" customWidth="1"/>
    <col min="33" max="33" width="16.5546875" bestFit="1" customWidth="1"/>
    <col min="34" max="34" width="20" bestFit="1" customWidth="1"/>
    <col min="35" max="35" width="23.44140625" bestFit="1" customWidth="1"/>
    <col min="36" max="36" width="20.6640625" bestFit="1" customWidth="1"/>
    <col min="37" max="37" width="14.6640625" bestFit="1" customWidth="1"/>
    <col min="38" max="38" width="18.6640625" bestFit="1" customWidth="1"/>
    <col min="39" max="39" width="11.5546875" bestFit="1" customWidth="1"/>
    <col min="40" max="40" width="26.5546875" bestFit="1" customWidth="1"/>
    <col min="41" max="41" width="16.5546875" bestFit="1" customWidth="1"/>
  </cols>
  <sheetData>
    <row r="4" spans="1:41" ht="25.8" x14ac:dyDescent="0.5">
      <c r="A4" s="4" t="s">
        <v>11</v>
      </c>
      <c r="Q4" s="4" t="s">
        <v>12</v>
      </c>
      <c r="AD4" s="3" t="s">
        <v>13</v>
      </c>
    </row>
    <row r="7" spans="1:41" ht="18" x14ac:dyDescent="0.35">
      <c r="A7" t="s">
        <v>1</v>
      </c>
      <c r="B7" t="s">
        <v>2</v>
      </c>
      <c r="C7" t="s">
        <v>3</v>
      </c>
      <c r="D7" t="s">
        <v>4</v>
      </c>
      <c r="E7" t="s">
        <v>5</v>
      </c>
      <c r="F7" t="s">
        <v>6</v>
      </c>
      <c r="G7" t="s">
        <v>14</v>
      </c>
      <c r="H7" t="s">
        <v>7</v>
      </c>
      <c r="I7" t="s">
        <v>4</v>
      </c>
      <c r="J7" t="s">
        <v>8</v>
      </c>
      <c r="K7" t="s">
        <v>4</v>
      </c>
      <c r="Q7" t="s">
        <v>1</v>
      </c>
      <c r="R7" t="s">
        <v>2</v>
      </c>
      <c r="S7" t="s">
        <v>3</v>
      </c>
      <c r="T7" t="s">
        <v>4</v>
      </c>
      <c r="U7" t="s">
        <v>5</v>
      </c>
      <c r="V7" t="s">
        <v>6</v>
      </c>
      <c r="W7" t="s">
        <v>14</v>
      </c>
      <c r="X7" t="s">
        <v>7</v>
      </c>
      <c r="Y7" t="s">
        <v>4</v>
      </c>
      <c r="Z7" t="s">
        <v>8</v>
      </c>
      <c r="AA7" t="s">
        <v>4</v>
      </c>
      <c r="AD7" t="s">
        <v>1</v>
      </c>
      <c r="AE7" t="s">
        <v>2</v>
      </c>
      <c r="AF7" t="s">
        <v>3</v>
      </c>
      <c r="AG7" t="s">
        <v>4</v>
      </c>
      <c r="AH7" t="s">
        <v>5</v>
      </c>
      <c r="AI7" s="6" t="s">
        <v>6</v>
      </c>
      <c r="AJ7" s="6" t="s">
        <v>15</v>
      </c>
      <c r="AK7" s="2" t="s">
        <v>16</v>
      </c>
      <c r="AL7" s="2" t="s">
        <v>58</v>
      </c>
      <c r="AM7" s="2" t="s">
        <v>17</v>
      </c>
      <c r="AN7" t="s">
        <v>8</v>
      </c>
      <c r="AO7" t="s">
        <v>4</v>
      </c>
    </row>
    <row r="8" spans="1:41" ht="18" x14ac:dyDescent="0.35">
      <c r="A8" s="1">
        <f>A21</f>
        <v>1.2E-2</v>
      </c>
      <c r="B8">
        <f>B21+B28+B35+B42+B49+B56+B63+B70+B77+B87+B94+B101</f>
        <v>6000</v>
      </c>
      <c r="C8" s="1">
        <f>SUM(C21+C28+C35+C42+C49+C56+C63+C70+C77+C87+C94+C101)/12</f>
        <v>1.9149148333333333E-13</v>
      </c>
      <c r="D8" s="1">
        <f>SUM(D21+D28+D35+D42+D49+D56+D63+D70+D77+D87+D94+D101)/12</f>
        <v>2.0292310833333334E-12</v>
      </c>
      <c r="E8">
        <f>E21+E28+E35+E42+E49+E56+E63+E70+E77+E87+E94+E101</f>
        <v>110</v>
      </c>
      <c r="F8" s="1">
        <f>SUM(F21+F28+F35+F42+F49+F56+F63+F70+F77+F87+F94+F101)/12</f>
        <v>1.833333333333333E-2</v>
      </c>
      <c r="G8" s="1">
        <f>SQRT(E8)</f>
        <v>10.488088481701515</v>
      </c>
      <c r="H8" s="1">
        <f>SUM(H21+H28+H35+H42+H49+H56+H63+H70+H77+H87+H94+H101)/12</f>
        <v>1.7241252499999998E-3</v>
      </c>
      <c r="I8" s="1">
        <f>SUM(I21+I28+I35+I42+I49+I56+I63+I70+I77+I87+I94+I101)/12</f>
        <v>1.8311890833333334E-4</v>
      </c>
      <c r="J8" s="1">
        <f>SUM(J21+J28+J35+J42+J49+J56+J63+J70+J77+J87+J94+J101)/12</f>
        <v>2.4125790833333331E-3</v>
      </c>
      <c r="K8" s="1">
        <f>SUM(K21+K28+K35+K42+K49+K56+K63+K70+K77+K87+K94+K101)/12</f>
        <v>6.4495580833333333E-4</v>
      </c>
      <c r="Q8" s="1">
        <f>Q21</f>
        <v>1.2E-2</v>
      </c>
      <c r="R8">
        <f>R21+R28+R35+R42+R49+R56+R63+R70+R77+R84+R94+R101</f>
        <v>6000</v>
      </c>
      <c r="S8" s="1">
        <f>SUM(S21+S28+S35+S42+S49+S56+S63+S70+S77+S84+S94+S101)/12</f>
        <v>1.8893399916666667E-13</v>
      </c>
      <c r="T8" s="1">
        <f>SUM(T21+T28+T35+T42+T49+T56+T63+T70+T77+T84+T94+T101)/12</f>
        <v>2.0146245000000003E-12</v>
      </c>
      <c r="U8">
        <f>U21+U28+U35+U42+U49+U56+U63+U70+U77+U84+U94+U101</f>
        <v>125</v>
      </c>
      <c r="V8" s="1">
        <f>SUM(V21+V28+V35+V42+V49+V56+V63+V70+V77+V84+V94+V101)/12</f>
        <v>2.0833333333333339E-2</v>
      </c>
      <c r="W8" s="1">
        <f>SQRT(U8)</f>
        <v>11.180339887498949</v>
      </c>
      <c r="X8" s="1">
        <f>SUM(X21+X28+X35+X42+X49+X56+X63+X70+X77+X84+X94+X101)/12</f>
        <v>1.0366020833333335E-2</v>
      </c>
      <c r="Y8" s="1">
        <f>SUM(Y21+Y28+Y35+Y42+Y49+Y56+Y63+Y70+Y77+Y84+Y94+Y101)/12</f>
        <v>5.4134885833333343E-4</v>
      </c>
      <c r="Z8" s="1">
        <f>SUM(Z21+Z28+Z35+Z42+Z49+Z56+Z63+Z70+Z77+Z84+Z94+Z101)/12</f>
        <v>2.4223824166666667E-3</v>
      </c>
      <c r="AA8" s="1">
        <f>SUM(AA21+AA28+AA35+AA42+AA49+AA56+AA63+AA70+AA77+AA84+AA94+AA101)/12</f>
        <v>6.6264991666666669E-4</v>
      </c>
      <c r="AD8" s="1">
        <f>Q8</f>
        <v>1.2E-2</v>
      </c>
      <c r="AE8">
        <f>R8</f>
        <v>6000</v>
      </c>
      <c r="AF8" s="1">
        <f>S8-C8</f>
        <v>-2.5574841666666595E-15</v>
      </c>
      <c r="AG8" s="1">
        <f>(T8+D8)/2</f>
        <v>2.0219277916666671E-12</v>
      </c>
      <c r="AH8" s="5">
        <f>U8-E8</f>
        <v>15</v>
      </c>
      <c r="AI8" s="7">
        <f>AH8/AE8</f>
        <v>2.5000000000000001E-3</v>
      </c>
      <c r="AJ8" s="7">
        <f>SQRT((1/SQRT(AH8))^2+((SQRT(E8))/(AH8))^2)</f>
        <v>0.74535599249992979</v>
      </c>
      <c r="AK8" s="8">
        <f>AI8</f>
        <v>2.5000000000000001E-3</v>
      </c>
      <c r="AL8" s="8">
        <f>AK8*1110000</f>
        <v>2775</v>
      </c>
      <c r="AM8" s="8">
        <f>AL8*AJ8</f>
        <v>2068.3628791873052</v>
      </c>
      <c r="AN8" s="1">
        <f>(Z8+J8)/2</f>
        <v>2.4174807500000001E-3</v>
      </c>
      <c r="AO8" s="1">
        <f>(AA8+K8)/2</f>
        <v>6.5380286250000001E-4</v>
      </c>
    </row>
    <row r="9" spans="1:41" ht="18" x14ac:dyDescent="0.35">
      <c r="A9" s="1">
        <f>A108</f>
        <v>1.9E-2</v>
      </c>
      <c r="B9">
        <f>B178+B171+B164+B157+B150+B143+B136+B129+B122+B115+B108</f>
        <v>5500</v>
      </c>
      <c r="C9" s="1">
        <f>SUM(C178+C171+C164+C157+C150+C143+C136+C129+C122+C115+C108)/11</f>
        <v>4.376443727272728E-14</v>
      </c>
      <c r="D9" s="1">
        <f>SUM(D178+D171+D164+D157+D150+D143+D136+D129+D122+D115+D108)/11</f>
        <v>1.4605188181818184E-12</v>
      </c>
      <c r="E9">
        <f>E178+E171+E164+E157+E150+E143+E136+E129+E122+E115+E108</f>
        <v>42</v>
      </c>
      <c r="F9" s="1">
        <f>SUM(F178+F171+F164+F157+F150+F143+F136+F129+F122+F115+F108)/11</f>
        <v>7.6363636363636356E-3</v>
      </c>
      <c r="G9" s="1">
        <f>SQRT(E9)</f>
        <v>6.4807406984078604</v>
      </c>
      <c r="H9" s="1">
        <f>SUM(H178+H171+H164+H157+H150+H143+H136+H129+H122+H115+H108)/11</f>
        <v>1.7457498181818181E-3</v>
      </c>
      <c r="I9" s="1">
        <f>SUM(I178+I171+I164+I157+I150+I143+I136+I129+I122+I115+I108)/11</f>
        <v>1.8465569999999998E-4</v>
      </c>
      <c r="J9" s="1">
        <f>SUM(J178+J171+J164+J157+J150+J143+J136+J129+J122+J115+J108)/11</f>
        <v>3.5737542727272728E-3</v>
      </c>
      <c r="K9" s="1">
        <f>SUM(K178+K171+K164+K157+K150+K143+K136+K129+K122+K115+K108)/11</f>
        <v>8.7532854545454533E-4</v>
      </c>
      <c r="Q9" s="1">
        <f>Q114</f>
        <v>1.9E-2</v>
      </c>
      <c r="R9">
        <f>R187+R180+R173+R163+R156+R149+R142+R135+R128+R121+R114</f>
        <v>5500</v>
      </c>
      <c r="S9" s="1">
        <f>SUM(S187+S180+S173+S163+S156+S149+S142+S135+S128+S121+S114)/11</f>
        <v>5.058174790909091E-14</v>
      </c>
      <c r="T9" s="1">
        <f>SUM(T187+T180+T173+T163+T156+T149+T142+T135+T128+T121+T114)/11</f>
        <v>1.6071520909090909E-12</v>
      </c>
      <c r="U9">
        <f>U187+U180+U173+U163+U156+U149+U142+U135+U128+U121+U114</f>
        <v>65</v>
      </c>
      <c r="V9" s="1">
        <f>SUM(V187+V180+V173+V163+V156+V149+V142+V135+V128+V121+V114)/11</f>
        <v>1.1818181818181818E-2</v>
      </c>
      <c r="W9" s="1">
        <f>SQRT(U9)</f>
        <v>8.0622577482985491</v>
      </c>
      <c r="X9" s="1">
        <f>SUM(X187+X180+X173+X163+X156+X149+X142+X135+X128+X121+X114)/11</f>
        <v>1.0398923636363635E-2</v>
      </c>
      <c r="Y9" s="1">
        <f>SUM(Y187+Y180+Y173+Y163+Y156+Y149+Y142+Y135+Y128+Y121+Y114)/11</f>
        <v>5.5942642727272731E-4</v>
      </c>
      <c r="Z9" s="1">
        <f>SUM(Z187+Z180+Z173+Z163+Z156+Z149+Z142+Z135+Z128+Z121+Z114)/11</f>
        <v>3.5885887272727275E-3</v>
      </c>
      <c r="AA9" s="1">
        <f>SUM(AA187+AA180+AA173+AA163+AA156+AA149+AA142+AA135+AA128+AA121+AA114)/11</f>
        <v>8.4560294545454548E-4</v>
      </c>
      <c r="AD9" s="1">
        <f>Q9</f>
        <v>1.9E-2</v>
      </c>
      <c r="AE9">
        <f>R9</f>
        <v>5500</v>
      </c>
      <c r="AF9" s="1">
        <f t="shared" ref="AF9" si="0">S9-C9</f>
        <v>6.8173106363636299E-15</v>
      </c>
      <c r="AG9" s="1">
        <f t="shared" ref="AG9" si="1">(T9+D9)/2</f>
        <v>1.5338354545454547E-12</v>
      </c>
      <c r="AH9" s="5">
        <f>U9-E9</f>
        <v>23</v>
      </c>
      <c r="AI9" s="7">
        <f>AH9/AE9</f>
        <v>4.1818181818181815E-3</v>
      </c>
      <c r="AJ9" s="7">
        <f>SQRT((1/SQRT(AH9))^2+((SQRT(E9))/(AH9))^2)</f>
        <v>0.35053294557819781</v>
      </c>
      <c r="AK9" s="8">
        <f t="shared" ref="AK9" si="2">AI9</f>
        <v>4.1818181818181815E-3</v>
      </c>
      <c r="AL9" s="8">
        <f>AK9*556000</f>
        <v>2325.090909090909</v>
      </c>
      <c r="AM9" s="8">
        <f t="shared" ref="AM9" si="3">AL9*AJ9</f>
        <v>815.02096510072613</v>
      </c>
      <c r="AN9" s="1">
        <f t="shared" ref="AN9:AO9" si="4">(Z9+J9)/2</f>
        <v>3.5811714999999999E-3</v>
      </c>
      <c r="AO9" s="1">
        <f t="shared" si="4"/>
        <v>8.6046574545454546E-4</v>
      </c>
    </row>
    <row r="10" spans="1:41" ht="18" x14ac:dyDescent="0.35">
      <c r="A10" s="1"/>
      <c r="C10" s="1"/>
      <c r="D10" s="1"/>
      <c r="F10" s="1"/>
      <c r="G10" s="1"/>
      <c r="H10" s="1"/>
      <c r="I10" s="1"/>
      <c r="J10" s="1"/>
      <c r="K10" s="1"/>
      <c r="Q10" s="1"/>
      <c r="S10" s="1"/>
      <c r="T10" s="1"/>
      <c r="V10" s="1"/>
      <c r="W10" s="1"/>
      <c r="X10" s="1"/>
      <c r="Y10" s="1"/>
      <c r="Z10" s="1"/>
      <c r="AA10" s="1"/>
      <c r="AD10" s="1"/>
      <c r="AF10" s="1"/>
      <c r="AG10" s="1"/>
      <c r="AH10" s="5"/>
      <c r="AI10" s="7"/>
      <c r="AJ10" s="7"/>
      <c r="AK10" s="8"/>
      <c r="AL10" s="8"/>
      <c r="AM10" s="8"/>
      <c r="AN10" s="1"/>
      <c r="AO10" s="1"/>
    </row>
    <row r="15" spans="1:41" x14ac:dyDescent="0.3">
      <c r="A15" t="s">
        <v>61</v>
      </c>
      <c r="Q15" t="s">
        <v>59</v>
      </c>
    </row>
    <row r="16" spans="1:41" x14ac:dyDescent="0.3">
      <c r="A16" t="s">
        <v>60</v>
      </c>
      <c r="Q16" t="s">
        <v>60</v>
      </c>
    </row>
    <row r="19" spans="1:27" x14ac:dyDescent="0.3">
      <c r="B19">
        <v>0</v>
      </c>
      <c r="R19">
        <v>0</v>
      </c>
    </row>
    <row r="20" spans="1:27" x14ac:dyDescent="0.3">
      <c r="A20" t="s">
        <v>1</v>
      </c>
      <c r="B20" t="s">
        <v>2</v>
      </c>
      <c r="C20" t="s">
        <v>3</v>
      </c>
      <c r="D20" t="s">
        <v>4</v>
      </c>
      <c r="E20" t="s">
        <v>5</v>
      </c>
      <c r="F20" t="s">
        <v>6</v>
      </c>
      <c r="G20" t="s">
        <v>4</v>
      </c>
      <c r="H20" t="s">
        <v>7</v>
      </c>
      <c r="I20" t="s">
        <v>4</v>
      </c>
      <c r="J20" t="s">
        <v>8</v>
      </c>
      <c r="K20" t="s">
        <v>4</v>
      </c>
      <c r="Q20" t="s">
        <v>1</v>
      </c>
      <c r="R20" t="s">
        <v>2</v>
      </c>
      <c r="S20" t="s">
        <v>3</v>
      </c>
      <c r="T20" t="s">
        <v>4</v>
      </c>
      <c r="U20" t="s">
        <v>5</v>
      </c>
      <c r="V20" t="s">
        <v>6</v>
      </c>
      <c r="W20" t="s">
        <v>4</v>
      </c>
      <c r="X20" t="s">
        <v>7</v>
      </c>
      <c r="Y20" t="s">
        <v>4</v>
      </c>
      <c r="Z20" t="s">
        <v>8</v>
      </c>
      <c r="AA20" t="s">
        <v>4</v>
      </c>
    </row>
    <row r="21" spans="1:27" x14ac:dyDescent="0.3">
      <c r="A21" s="1">
        <v>1.2E-2</v>
      </c>
      <c r="B21">
        <v>500</v>
      </c>
      <c r="C21" s="1">
        <v>1.2982640000000001E-13</v>
      </c>
      <c r="D21" s="1">
        <v>2.2865019999999999E-12</v>
      </c>
      <c r="E21">
        <v>13</v>
      </c>
      <c r="F21" s="1">
        <v>2.5999999999999999E-2</v>
      </c>
      <c r="G21" s="1">
        <v>0.2311512</v>
      </c>
      <c r="H21" s="1">
        <v>1.729494E-3</v>
      </c>
      <c r="I21" s="1">
        <v>1.9670519999999999E-4</v>
      </c>
      <c r="J21" s="1">
        <v>2.3707910000000001E-3</v>
      </c>
      <c r="K21" s="1">
        <v>6.7384870000000003E-4</v>
      </c>
      <c r="Q21" s="1">
        <v>1.2E-2</v>
      </c>
      <c r="R21">
        <v>500</v>
      </c>
      <c r="S21" s="1">
        <v>3.597338E-13</v>
      </c>
      <c r="T21" s="1">
        <v>2.4840900000000002E-12</v>
      </c>
      <c r="U21">
        <v>18</v>
      </c>
      <c r="V21" s="1">
        <v>3.5999999999999997E-2</v>
      </c>
      <c r="W21" s="1">
        <v>0.2341231</v>
      </c>
      <c r="X21" s="1">
        <v>1.0747680000000001E-2</v>
      </c>
      <c r="Y21" s="1">
        <v>5.2589300000000004E-4</v>
      </c>
      <c r="Z21" s="1">
        <v>2.3285049999999998E-3</v>
      </c>
      <c r="AA21" s="1">
        <v>6.2636409999999995E-4</v>
      </c>
    </row>
    <row r="23" spans="1:27" x14ac:dyDescent="0.3">
      <c r="A23" t="s">
        <v>9</v>
      </c>
      <c r="Q23" t="s">
        <v>9</v>
      </c>
    </row>
    <row r="26" spans="1:27" x14ac:dyDescent="0.3">
      <c r="B26">
        <v>0</v>
      </c>
      <c r="R26">
        <v>0</v>
      </c>
    </row>
    <row r="27" spans="1:27" x14ac:dyDescent="0.3">
      <c r="A27" t="s">
        <v>1</v>
      </c>
      <c r="B27" t="s">
        <v>2</v>
      </c>
      <c r="C27" t="s">
        <v>3</v>
      </c>
      <c r="D27" t="s">
        <v>4</v>
      </c>
      <c r="E27" t="s">
        <v>5</v>
      </c>
      <c r="F27" t="s">
        <v>6</v>
      </c>
      <c r="G27" t="s">
        <v>4</v>
      </c>
      <c r="H27" t="s">
        <v>7</v>
      </c>
      <c r="I27" t="s">
        <v>4</v>
      </c>
      <c r="J27" t="s">
        <v>8</v>
      </c>
      <c r="K27" t="s">
        <v>4</v>
      </c>
      <c r="Q27" t="s">
        <v>1</v>
      </c>
      <c r="R27" t="s">
        <v>2</v>
      </c>
      <c r="S27" t="s">
        <v>3</v>
      </c>
      <c r="T27" t="s">
        <v>4</v>
      </c>
      <c r="U27" t="s">
        <v>5</v>
      </c>
      <c r="V27" t="s">
        <v>6</v>
      </c>
      <c r="W27" t="s">
        <v>4</v>
      </c>
      <c r="X27" t="s">
        <v>7</v>
      </c>
      <c r="Y27" t="s">
        <v>4</v>
      </c>
      <c r="Z27" t="s">
        <v>8</v>
      </c>
      <c r="AA27" t="s">
        <v>4</v>
      </c>
    </row>
    <row r="28" spans="1:27" x14ac:dyDescent="0.3">
      <c r="A28" s="1">
        <v>1.2E-2</v>
      </c>
      <c r="B28">
        <v>500</v>
      </c>
      <c r="C28" s="1">
        <v>2.1889979999999999E-13</v>
      </c>
      <c r="D28" s="1">
        <v>1.9815649999999999E-12</v>
      </c>
      <c r="E28">
        <v>10</v>
      </c>
      <c r="F28" s="1">
        <v>0.02</v>
      </c>
      <c r="G28" s="1">
        <v>0.1662989</v>
      </c>
      <c r="H28" s="1">
        <v>1.7006160000000001E-3</v>
      </c>
      <c r="I28" s="1">
        <v>1.742674E-4</v>
      </c>
      <c r="J28" s="1">
        <v>2.355069E-3</v>
      </c>
      <c r="K28" s="1">
        <v>6.24662E-4</v>
      </c>
      <c r="Q28" s="1">
        <v>1.2E-2</v>
      </c>
      <c r="R28">
        <v>500</v>
      </c>
      <c r="S28" s="1">
        <v>1.3128260000000001E-13</v>
      </c>
      <c r="T28" s="1">
        <v>1.7854270000000001E-12</v>
      </c>
      <c r="U28">
        <v>12</v>
      </c>
      <c r="V28" s="1">
        <v>2.4E-2</v>
      </c>
      <c r="W28" s="1">
        <v>0.18840109999999999</v>
      </c>
      <c r="X28" s="1">
        <v>1.0658819999999999E-2</v>
      </c>
      <c r="Y28" s="1">
        <v>5.4672840000000004E-4</v>
      </c>
      <c r="Z28" s="1">
        <v>2.230924E-3</v>
      </c>
      <c r="AA28" s="1">
        <v>5.9679939999999999E-4</v>
      </c>
    </row>
    <row r="30" spans="1:27" x14ac:dyDescent="0.3">
      <c r="A30" t="s">
        <v>9</v>
      </c>
      <c r="Q30" t="s">
        <v>9</v>
      </c>
    </row>
    <row r="33" spans="1:27" x14ac:dyDescent="0.3">
      <c r="B33">
        <v>0</v>
      </c>
      <c r="R33">
        <v>0</v>
      </c>
    </row>
    <row r="34" spans="1:27" x14ac:dyDescent="0.3">
      <c r="A34" t="s">
        <v>1</v>
      </c>
      <c r="B34" t="s">
        <v>2</v>
      </c>
      <c r="C34" t="s">
        <v>3</v>
      </c>
      <c r="D34" t="s">
        <v>4</v>
      </c>
      <c r="E34" t="s">
        <v>5</v>
      </c>
      <c r="F34" t="s">
        <v>6</v>
      </c>
      <c r="G34" t="s">
        <v>4</v>
      </c>
      <c r="H34" t="s">
        <v>7</v>
      </c>
      <c r="I34" t="s">
        <v>4</v>
      </c>
      <c r="J34" t="s">
        <v>8</v>
      </c>
      <c r="K34" t="s">
        <v>4</v>
      </c>
      <c r="Q34" t="s">
        <v>1</v>
      </c>
      <c r="R34" t="s">
        <v>2</v>
      </c>
      <c r="S34" t="s">
        <v>3</v>
      </c>
      <c r="T34" t="s">
        <v>4</v>
      </c>
      <c r="U34" t="s">
        <v>5</v>
      </c>
      <c r="V34" t="s">
        <v>6</v>
      </c>
      <c r="W34" t="s">
        <v>4</v>
      </c>
      <c r="X34" t="s">
        <v>7</v>
      </c>
      <c r="Y34" t="s">
        <v>4</v>
      </c>
      <c r="Z34" t="s">
        <v>8</v>
      </c>
      <c r="AA34" t="s">
        <v>4</v>
      </c>
    </row>
    <row r="35" spans="1:27" x14ac:dyDescent="0.3">
      <c r="A35" s="1">
        <v>1.2E-2</v>
      </c>
      <c r="B35">
        <v>500</v>
      </c>
      <c r="C35" s="1">
        <v>2.0837260000000001E-13</v>
      </c>
      <c r="D35" s="1">
        <v>1.8801479999999999E-12</v>
      </c>
      <c r="E35">
        <v>13</v>
      </c>
      <c r="F35" s="1">
        <v>2.5999999999999999E-2</v>
      </c>
      <c r="G35" s="1">
        <v>0.15929450000000001</v>
      </c>
      <c r="H35" s="1">
        <v>1.7372679999999999E-3</v>
      </c>
      <c r="I35" s="1">
        <v>1.8398359999999999E-4</v>
      </c>
      <c r="J35" s="1">
        <v>2.3827169999999999E-3</v>
      </c>
      <c r="K35" s="1">
        <v>6.6179819999999997E-4</v>
      </c>
      <c r="Q35" s="1">
        <v>1.2E-2</v>
      </c>
      <c r="R35">
        <v>500</v>
      </c>
      <c r="S35" s="1">
        <v>3.2802000000000003E-14</v>
      </c>
      <c r="T35" s="1">
        <v>1.496596E-12</v>
      </c>
      <c r="U35">
        <v>5</v>
      </c>
      <c r="V35" s="1">
        <v>0.01</v>
      </c>
      <c r="W35" s="1">
        <v>9.9598389999999995E-2</v>
      </c>
      <c r="X35" s="1">
        <v>1.058719E-2</v>
      </c>
      <c r="Y35" s="1">
        <v>5.1833100000000002E-4</v>
      </c>
      <c r="Z35" s="1">
        <v>2.433677E-3</v>
      </c>
      <c r="AA35" s="1">
        <v>6.7597100000000004E-4</v>
      </c>
    </row>
    <row r="36" spans="1:27" x14ac:dyDescent="0.3">
      <c r="A36" s="1"/>
      <c r="C36" s="1"/>
      <c r="D36" s="1"/>
      <c r="F36" s="1"/>
      <c r="G36" s="1"/>
      <c r="H36" s="1"/>
      <c r="I36" s="1"/>
      <c r="J36" s="1"/>
      <c r="K36" s="1"/>
      <c r="Q36" s="1"/>
      <c r="S36" s="1"/>
      <c r="T36" s="1"/>
      <c r="V36" s="1"/>
      <c r="W36" s="1"/>
      <c r="X36" s="1"/>
      <c r="Y36" s="1"/>
      <c r="Z36" s="1"/>
      <c r="AA36" s="1"/>
    </row>
    <row r="37" spans="1:27" x14ac:dyDescent="0.3">
      <c r="A37" t="s">
        <v>9</v>
      </c>
      <c r="Q37" t="s">
        <v>9</v>
      </c>
    </row>
    <row r="40" spans="1:27" x14ac:dyDescent="0.3">
      <c r="B40">
        <v>0</v>
      </c>
      <c r="R40">
        <v>0</v>
      </c>
    </row>
    <row r="41" spans="1:27" x14ac:dyDescent="0.3">
      <c r="A41" t="s">
        <v>1</v>
      </c>
      <c r="B41" t="s">
        <v>2</v>
      </c>
      <c r="C41" t="s">
        <v>3</v>
      </c>
      <c r="D41" t="s">
        <v>4</v>
      </c>
      <c r="E41" t="s">
        <v>5</v>
      </c>
      <c r="F41" t="s">
        <v>6</v>
      </c>
      <c r="G41" t="s">
        <v>4</v>
      </c>
      <c r="H41" t="s">
        <v>7</v>
      </c>
      <c r="I41" t="s">
        <v>4</v>
      </c>
      <c r="J41" t="s">
        <v>8</v>
      </c>
      <c r="K41" t="s">
        <v>4</v>
      </c>
      <c r="Q41" t="s">
        <v>1</v>
      </c>
      <c r="R41" t="s">
        <v>2</v>
      </c>
      <c r="S41" t="s">
        <v>3</v>
      </c>
      <c r="T41" t="s">
        <v>4</v>
      </c>
      <c r="U41" t="s">
        <v>5</v>
      </c>
      <c r="V41" t="s">
        <v>6</v>
      </c>
      <c r="W41" t="s">
        <v>4</v>
      </c>
      <c r="X41" t="s">
        <v>7</v>
      </c>
      <c r="Y41" t="s">
        <v>4</v>
      </c>
      <c r="Z41" t="s">
        <v>8</v>
      </c>
      <c r="AA41" t="s">
        <v>4</v>
      </c>
    </row>
    <row r="42" spans="1:27" x14ac:dyDescent="0.3">
      <c r="A42" s="1">
        <v>1.2E-2</v>
      </c>
      <c r="B42">
        <v>500</v>
      </c>
      <c r="C42" s="1">
        <v>3.9824299999999999E-13</v>
      </c>
      <c r="D42" s="1">
        <v>2.8605020000000001E-12</v>
      </c>
      <c r="E42">
        <v>13</v>
      </c>
      <c r="F42" s="1">
        <v>2.5999999999999999E-2</v>
      </c>
      <c r="G42" s="1">
        <v>0.20230139999999999</v>
      </c>
      <c r="H42" s="1">
        <v>1.7278269999999999E-3</v>
      </c>
      <c r="I42" s="1">
        <v>1.7605720000000001E-4</v>
      </c>
      <c r="J42" s="1">
        <v>2.2976049999999999E-3</v>
      </c>
      <c r="K42" s="1">
        <v>6.0189480000000001E-4</v>
      </c>
      <c r="Q42" s="1">
        <v>1.2E-2</v>
      </c>
      <c r="R42">
        <v>500</v>
      </c>
      <c r="S42" s="1">
        <v>3.2981050000000002E-13</v>
      </c>
      <c r="T42" s="1">
        <v>2.70214E-12</v>
      </c>
      <c r="U42">
        <v>16</v>
      </c>
      <c r="V42" s="1">
        <v>3.2000000000000001E-2</v>
      </c>
      <c r="W42" s="1">
        <v>0.19762109999999999</v>
      </c>
      <c r="X42" s="1">
        <v>1.052499E-2</v>
      </c>
      <c r="Y42" s="1">
        <v>5.6073349999999995E-4</v>
      </c>
      <c r="Z42" s="1">
        <v>2.4038599999999999E-3</v>
      </c>
      <c r="AA42" s="1">
        <v>6.5946889999999995E-4</v>
      </c>
    </row>
    <row r="43" spans="1:27" x14ac:dyDescent="0.3">
      <c r="A43" s="1"/>
      <c r="C43" s="1"/>
      <c r="D43" s="1"/>
      <c r="F43" s="1"/>
      <c r="G43" s="1"/>
      <c r="H43" s="1"/>
      <c r="I43" s="1"/>
      <c r="J43" s="1"/>
      <c r="K43" s="1"/>
      <c r="Q43" s="1"/>
      <c r="S43" s="1"/>
      <c r="T43" s="1"/>
      <c r="V43" s="1"/>
      <c r="W43" s="1"/>
      <c r="X43" s="1"/>
      <c r="Y43" s="1"/>
      <c r="Z43" s="1"/>
      <c r="AA43" s="1"/>
    </row>
    <row r="44" spans="1:27" x14ac:dyDescent="0.3">
      <c r="A44" t="s">
        <v>9</v>
      </c>
      <c r="Q44" t="s">
        <v>9</v>
      </c>
    </row>
    <row r="47" spans="1:27" x14ac:dyDescent="0.3">
      <c r="B47">
        <v>0</v>
      </c>
      <c r="R47">
        <v>0</v>
      </c>
    </row>
    <row r="48" spans="1:27" x14ac:dyDescent="0.3">
      <c r="A48" t="s">
        <v>1</v>
      </c>
      <c r="B48" t="s">
        <v>2</v>
      </c>
      <c r="C48" t="s">
        <v>3</v>
      </c>
      <c r="D48" t="s">
        <v>4</v>
      </c>
      <c r="E48" t="s">
        <v>5</v>
      </c>
      <c r="F48" t="s">
        <v>6</v>
      </c>
      <c r="G48" t="s">
        <v>4</v>
      </c>
      <c r="H48" t="s">
        <v>7</v>
      </c>
      <c r="I48" t="s">
        <v>4</v>
      </c>
      <c r="J48" t="s">
        <v>8</v>
      </c>
      <c r="K48" t="s">
        <v>4</v>
      </c>
      <c r="Q48" t="s">
        <v>1</v>
      </c>
      <c r="R48" t="s">
        <v>2</v>
      </c>
      <c r="S48" t="s">
        <v>3</v>
      </c>
      <c r="T48" t="s">
        <v>4</v>
      </c>
      <c r="U48" t="s">
        <v>5</v>
      </c>
      <c r="V48" t="s">
        <v>6</v>
      </c>
      <c r="W48" t="s">
        <v>4</v>
      </c>
      <c r="X48" t="s">
        <v>7</v>
      </c>
      <c r="Y48" t="s">
        <v>4</v>
      </c>
      <c r="Z48" t="s">
        <v>8</v>
      </c>
      <c r="AA48" t="s">
        <v>4</v>
      </c>
    </row>
    <row r="49" spans="1:27" x14ac:dyDescent="0.3">
      <c r="A49" s="1">
        <v>1.2E-2</v>
      </c>
      <c r="B49">
        <v>500</v>
      </c>
      <c r="C49" s="1">
        <v>1.153862E-13</v>
      </c>
      <c r="D49" s="1">
        <v>1.77681E-12</v>
      </c>
      <c r="E49">
        <v>6</v>
      </c>
      <c r="F49" s="1">
        <v>1.2E-2</v>
      </c>
      <c r="G49" s="1">
        <v>0.1089943</v>
      </c>
      <c r="H49" s="1">
        <v>1.728383E-3</v>
      </c>
      <c r="I49" s="1">
        <v>1.803671E-4</v>
      </c>
      <c r="J49" s="1">
        <v>2.4678299999999999E-3</v>
      </c>
      <c r="K49" s="1">
        <v>6.736531E-4</v>
      </c>
      <c r="Q49" s="1">
        <v>1.2E-2</v>
      </c>
      <c r="R49">
        <v>500</v>
      </c>
      <c r="S49" s="1">
        <v>2.3041270000000002E-13</v>
      </c>
      <c r="T49" s="1">
        <v>2.153828E-12</v>
      </c>
      <c r="U49">
        <v>13</v>
      </c>
      <c r="V49" s="1">
        <v>2.5999999999999999E-2</v>
      </c>
      <c r="W49" s="1">
        <v>0.18273139999999999</v>
      </c>
      <c r="X49" s="1">
        <v>1.0410030000000001E-2</v>
      </c>
      <c r="Y49" s="1">
        <v>5.2725220000000004E-4</v>
      </c>
      <c r="Z49" s="1">
        <v>2.3604899999999998E-3</v>
      </c>
      <c r="AA49" s="1">
        <v>6.5396230000000001E-4</v>
      </c>
    </row>
    <row r="50" spans="1:27" x14ac:dyDescent="0.3">
      <c r="A50" s="1"/>
      <c r="C50" s="1"/>
      <c r="D50" s="1"/>
      <c r="F50" s="1"/>
      <c r="G50" s="1"/>
      <c r="H50" s="1"/>
      <c r="I50" s="1"/>
      <c r="J50" s="1"/>
      <c r="K50" s="1"/>
      <c r="Q50" s="1"/>
      <c r="S50" s="1"/>
      <c r="T50" s="1"/>
      <c r="V50" s="1"/>
      <c r="W50" s="1"/>
      <c r="X50" s="1"/>
      <c r="Y50" s="1"/>
      <c r="Z50" s="1"/>
      <c r="AA50" s="1"/>
    </row>
    <row r="51" spans="1:27" x14ac:dyDescent="0.3">
      <c r="A51" t="s">
        <v>9</v>
      </c>
      <c r="Q51" t="s">
        <v>9</v>
      </c>
    </row>
    <row r="54" spans="1:27" x14ac:dyDescent="0.3">
      <c r="B54">
        <v>0</v>
      </c>
      <c r="R54">
        <v>0</v>
      </c>
    </row>
    <row r="55" spans="1:27" x14ac:dyDescent="0.3">
      <c r="A55" t="s">
        <v>1</v>
      </c>
      <c r="B55" t="s">
        <v>2</v>
      </c>
      <c r="C55" t="s">
        <v>3</v>
      </c>
      <c r="D55" t="s">
        <v>4</v>
      </c>
      <c r="E55" t="s">
        <v>5</v>
      </c>
      <c r="F55" t="s">
        <v>6</v>
      </c>
      <c r="G55" t="s">
        <v>4</v>
      </c>
      <c r="H55" t="s">
        <v>7</v>
      </c>
      <c r="I55" t="s">
        <v>4</v>
      </c>
      <c r="J55" t="s">
        <v>8</v>
      </c>
      <c r="K55" t="s">
        <v>4</v>
      </c>
      <c r="Q55" t="s">
        <v>1</v>
      </c>
      <c r="R55" t="s">
        <v>2</v>
      </c>
      <c r="S55" t="s">
        <v>3</v>
      </c>
      <c r="T55" t="s">
        <v>4</v>
      </c>
      <c r="U55" t="s">
        <v>5</v>
      </c>
      <c r="V55" t="s">
        <v>6</v>
      </c>
      <c r="W55" t="s">
        <v>4</v>
      </c>
      <c r="X55" t="s">
        <v>7</v>
      </c>
      <c r="Y55" t="s">
        <v>4</v>
      </c>
      <c r="Z55" t="s">
        <v>8</v>
      </c>
      <c r="AA55" t="s">
        <v>4</v>
      </c>
    </row>
    <row r="56" spans="1:27" x14ac:dyDescent="0.3">
      <c r="A56" s="1">
        <v>1.2E-2</v>
      </c>
      <c r="B56">
        <v>500</v>
      </c>
      <c r="C56" s="1">
        <v>2.163764E-13</v>
      </c>
      <c r="D56" s="1">
        <v>1.9298519999999998E-12</v>
      </c>
      <c r="E56">
        <v>10</v>
      </c>
      <c r="F56" s="1">
        <v>0.02</v>
      </c>
      <c r="G56" s="1">
        <v>0.5184337</v>
      </c>
      <c r="H56" s="1">
        <v>1.736713E-3</v>
      </c>
      <c r="I56" s="1">
        <v>1.8900509999999999E-4</v>
      </c>
      <c r="J56" s="1">
        <v>2.384344E-3</v>
      </c>
      <c r="K56" s="1">
        <v>6.2078709999999996E-4</v>
      </c>
      <c r="Q56" s="1">
        <v>1.2E-2</v>
      </c>
      <c r="R56">
        <v>500</v>
      </c>
      <c r="S56" s="1">
        <v>3.0261490000000001E-13</v>
      </c>
      <c r="T56" s="1">
        <v>2.24519E-12</v>
      </c>
      <c r="U56">
        <v>12</v>
      </c>
      <c r="V56" s="1">
        <v>2.4E-2</v>
      </c>
      <c r="W56" s="1">
        <v>0.16576779999999999</v>
      </c>
      <c r="X56" s="1">
        <v>1.033506E-2</v>
      </c>
      <c r="Y56" s="1">
        <v>5.2187220000000001E-4</v>
      </c>
      <c r="Z56" s="1">
        <v>2.4499399999999998E-3</v>
      </c>
      <c r="AA56" s="1">
        <v>7.0879700000000005E-4</v>
      </c>
    </row>
    <row r="57" spans="1:27" x14ac:dyDescent="0.3">
      <c r="A57" s="1"/>
      <c r="C57" s="1"/>
      <c r="D57" s="1"/>
      <c r="F57" s="1"/>
      <c r="G57" s="1"/>
      <c r="H57" s="1"/>
      <c r="I57" s="1"/>
      <c r="J57" s="1"/>
      <c r="K57" s="1"/>
      <c r="Q57" s="1"/>
      <c r="S57" s="1"/>
      <c r="T57" s="1"/>
      <c r="V57" s="1"/>
      <c r="W57" s="1"/>
      <c r="X57" s="1"/>
      <c r="Y57" s="1"/>
      <c r="Z57" s="1"/>
      <c r="AA57" s="1"/>
    </row>
    <row r="58" spans="1:27" x14ac:dyDescent="0.3">
      <c r="A58" t="s">
        <v>9</v>
      </c>
      <c r="Q58" t="s">
        <v>9</v>
      </c>
    </row>
    <row r="61" spans="1:27" x14ac:dyDescent="0.3">
      <c r="B61">
        <v>0</v>
      </c>
      <c r="R61">
        <v>0</v>
      </c>
    </row>
    <row r="62" spans="1:27" x14ac:dyDescent="0.3">
      <c r="A62" t="s">
        <v>1</v>
      </c>
      <c r="B62" t="s">
        <v>2</v>
      </c>
      <c r="C62" t="s">
        <v>3</v>
      </c>
      <c r="D62" t="s">
        <v>4</v>
      </c>
      <c r="E62" t="s">
        <v>5</v>
      </c>
      <c r="F62" t="s">
        <v>6</v>
      </c>
      <c r="G62" t="s">
        <v>4</v>
      </c>
      <c r="H62" t="s">
        <v>7</v>
      </c>
      <c r="I62" t="s">
        <v>4</v>
      </c>
      <c r="J62" t="s">
        <v>8</v>
      </c>
      <c r="K62" t="s">
        <v>4</v>
      </c>
      <c r="Q62" t="s">
        <v>1</v>
      </c>
      <c r="R62" t="s">
        <v>2</v>
      </c>
      <c r="S62" t="s">
        <v>3</v>
      </c>
      <c r="T62" t="s">
        <v>4</v>
      </c>
      <c r="U62" t="s">
        <v>5</v>
      </c>
      <c r="V62" t="s">
        <v>6</v>
      </c>
      <c r="W62" t="s">
        <v>4</v>
      </c>
      <c r="X62" t="s">
        <v>7</v>
      </c>
      <c r="Y62" t="s">
        <v>4</v>
      </c>
      <c r="Z62" t="s">
        <v>8</v>
      </c>
      <c r="AA62" t="s">
        <v>4</v>
      </c>
    </row>
    <row r="63" spans="1:27" x14ac:dyDescent="0.3">
      <c r="A63" s="1">
        <v>1.2E-2</v>
      </c>
      <c r="B63">
        <v>500</v>
      </c>
      <c r="C63" s="1">
        <v>1.7899080000000001E-13</v>
      </c>
      <c r="D63" s="1">
        <v>2.1326330000000001E-12</v>
      </c>
      <c r="E63">
        <v>13</v>
      </c>
      <c r="F63" s="1">
        <v>2.5999999999999999E-2</v>
      </c>
      <c r="G63" s="1">
        <v>0.15929450000000001</v>
      </c>
      <c r="H63" s="1">
        <v>1.7211629999999999E-3</v>
      </c>
      <c r="I63" s="1">
        <v>1.9614280000000001E-4</v>
      </c>
      <c r="J63" s="1">
        <v>2.504694E-3</v>
      </c>
      <c r="K63" s="1">
        <v>6.7077580000000003E-4</v>
      </c>
      <c r="Q63" s="1">
        <v>1.2E-2</v>
      </c>
      <c r="R63">
        <v>500</v>
      </c>
      <c r="S63" s="1">
        <v>2.8356739999999999E-13</v>
      </c>
      <c r="T63" s="1">
        <v>2.3466729999999998E-12</v>
      </c>
      <c r="U63">
        <v>16</v>
      </c>
      <c r="V63" s="1">
        <v>3.2000000000000001E-2</v>
      </c>
      <c r="W63" s="1">
        <v>0.49486340000000001</v>
      </c>
      <c r="X63" s="1">
        <v>1.0320620000000001E-2</v>
      </c>
      <c r="Y63" s="1">
        <v>5.4561010000000001E-4</v>
      </c>
      <c r="Z63" s="1">
        <v>2.4385560000000001E-3</v>
      </c>
      <c r="AA63" s="1">
        <v>7.1025730000000005E-4</v>
      </c>
    </row>
    <row r="64" spans="1:27" x14ac:dyDescent="0.3">
      <c r="A64" s="1"/>
      <c r="C64" s="1"/>
      <c r="D64" s="1"/>
      <c r="F64" s="1"/>
      <c r="G64" s="1"/>
      <c r="H64" s="1"/>
      <c r="I64" s="1"/>
      <c r="J64" s="1"/>
      <c r="K64" s="1"/>
      <c r="Q64" s="1"/>
      <c r="S64" s="1"/>
      <c r="T64" s="1"/>
      <c r="V64" s="1"/>
      <c r="W64" s="1"/>
      <c r="X64" s="1"/>
      <c r="Y64" s="1"/>
      <c r="Z64" s="1"/>
      <c r="AA64" s="1"/>
    </row>
    <row r="65" spans="1:27" x14ac:dyDescent="0.3">
      <c r="A65" t="s">
        <v>9</v>
      </c>
      <c r="Q65" t="s">
        <v>9</v>
      </c>
    </row>
    <row r="68" spans="1:27" x14ac:dyDescent="0.3">
      <c r="B68">
        <v>0</v>
      </c>
      <c r="R68">
        <v>0</v>
      </c>
    </row>
    <row r="69" spans="1:27" x14ac:dyDescent="0.3">
      <c r="A69" t="s">
        <v>1</v>
      </c>
      <c r="B69" t="s">
        <v>2</v>
      </c>
      <c r="C69" t="s">
        <v>3</v>
      </c>
      <c r="D69" t="s">
        <v>4</v>
      </c>
      <c r="E69" t="s">
        <v>5</v>
      </c>
      <c r="F69" t="s">
        <v>6</v>
      </c>
      <c r="G69" t="s">
        <v>4</v>
      </c>
      <c r="H69" t="s">
        <v>7</v>
      </c>
      <c r="I69" t="s">
        <v>4</v>
      </c>
      <c r="J69" t="s">
        <v>8</v>
      </c>
      <c r="K69" t="s">
        <v>4</v>
      </c>
      <c r="Q69" t="s">
        <v>1</v>
      </c>
      <c r="R69" t="s">
        <v>2</v>
      </c>
      <c r="S69" t="s">
        <v>3</v>
      </c>
      <c r="T69" t="s">
        <v>4</v>
      </c>
      <c r="U69" t="s">
        <v>5</v>
      </c>
      <c r="V69" t="s">
        <v>6</v>
      </c>
      <c r="W69" t="s">
        <v>4</v>
      </c>
      <c r="X69" t="s">
        <v>7</v>
      </c>
      <c r="Y69" t="s">
        <v>4</v>
      </c>
      <c r="Z69" t="s">
        <v>8</v>
      </c>
      <c r="AA69" t="s">
        <v>4</v>
      </c>
    </row>
    <row r="70" spans="1:27" x14ac:dyDescent="0.3">
      <c r="A70" s="1">
        <v>1.2E-2</v>
      </c>
      <c r="B70">
        <v>500</v>
      </c>
      <c r="C70" s="1">
        <v>1.5158169999999999E-13</v>
      </c>
      <c r="D70" s="1">
        <v>1.8645800000000001E-12</v>
      </c>
      <c r="E70">
        <v>6</v>
      </c>
      <c r="F70" s="1">
        <v>1.2E-2</v>
      </c>
      <c r="G70" s="1">
        <v>0.1089943</v>
      </c>
      <c r="H70" s="1">
        <v>1.717276E-3</v>
      </c>
      <c r="I70" s="1">
        <v>1.8139210000000001E-4</v>
      </c>
      <c r="J70" s="1">
        <v>2.4022340000000001E-3</v>
      </c>
      <c r="K70" s="1">
        <v>6.5809099999999997E-4</v>
      </c>
      <c r="Q70" s="1">
        <v>1.2E-2</v>
      </c>
      <c r="R70">
        <v>500</v>
      </c>
      <c r="S70" s="1">
        <v>5.2077679999999999E-14</v>
      </c>
      <c r="T70" s="1">
        <v>1.6933889999999999E-12</v>
      </c>
      <c r="U70">
        <v>3</v>
      </c>
      <c r="V70" s="1">
        <v>6.0000000000000001E-3</v>
      </c>
      <c r="W70" s="1">
        <v>7.7304280000000003E-2</v>
      </c>
      <c r="X70" s="1">
        <v>1.0270639999999999E-2</v>
      </c>
      <c r="Y70" s="1">
        <v>5.3893120000000005E-4</v>
      </c>
      <c r="Z70" s="1">
        <v>2.4786719999999999E-3</v>
      </c>
      <c r="AA70" s="1">
        <v>6.7647119999999995E-4</v>
      </c>
    </row>
    <row r="71" spans="1:27" x14ac:dyDescent="0.3">
      <c r="A71" s="1"/>
      <c r="C71" s="1"/>
      <c r="D71" s="1"/>
      <c r="F71" s="1"/>
      <c r="G71" s="1"/>
      <c r="H71" s="1"/>
      <c r="I71" s="1"/>
      <c r="J71" s="1"/>
      <c r="K71" s="1"/>
      <c r="Q71" s="1"/>
      <c r="S71" s="1"/>
      <c r="T71" s="1"/>
      <c r="V71" s="1"/>
      <c r="W71" s="1"/>
      <c r="X71" s="1"/>
      <c r="Y71" s="1"/>
      <c r="Z71" s="1"/>
      <c r="AA71" s="1"/>
    </row>
    <row r="72" spans="1:27" x14ac:dyDescent="0.3">
      <c r="A72" t="s">
        <v>9</v>
      </c>
      <c r="Q72" t="s">
        <v>9</v>
      </c>
    </row>
    <row r="75" spans="1:27" x14ac:dyDescent="0.3">
      <c r="B75">
        <v>0</v>
      </c>
      <c r="R75">
        <v>0</v>
      </c>
    </row>
    <row r="76" spans="1:27" x14ac:dyDescent="0.3">
      <c r="A76" t="s">
        <v>1</v>
      </c>
      <c r="B76" t="s">
        <v>2</v>
      </c>
      <c r="C76" t="s">
        <v>3</v>
      </c>
      <c r="D76" t="s">
        <v>4</v>
      </c>
      <c r="E76" t="s">
        <v>5</v>
      </c>
      <c r="F76" t="s">
        <v>6</v>
      </c>
      <c r="G76" t="s">
        <v>4</v>
      </c>
      <c r="H76" t="s">
        <v>7</v>
      </c>
      <c r="I76" t="s">
        <v>4</v>
      </c>
      <c r="J76" t="s">
        <v>8</v>
      </c>
      <c r="K76" t="s">
        <v>4</v>
      </c>
      <c r="Q76" t="s">
        <v>1</v>
      </c>
      <c r="R76" t="s">
        <v>2</v>
      </c>
      <c r="S76" t="s">
        <v>3</v>
      </c>
      <c r="T76" t="s">
        <v>4</v>
      </c>
      <c r="U76" t="s">
        <v>5</v>
      </c>
      <c r="V76" t="s">
        <v>6</v>
      </c>
      <c r="W76" t="s">
        <v>4</v>
      </c>
      <c r="X76" t="s">
        <v>7</v>
      </c>
      <c r="Y76" t="s">
        <v>4</v>
      </c>
      <c r="Z76" t="s">
        <v>8</v>
      </c>
      <c r="AA76" t="s">
        <v>4</v>
      </c>
    </row>
    <row r="77" spans="1:27" x14ac:dyDescent="0.3">
      <c r="A77" s="1">
        <v>1.2E-2</v>
      </c>
      <c r="B77">
        <v>500</v>
      </c>
      <c r="C77" s="1">
        <v>1.7539540000000001E-13</v>
      </c>
      <c r="D77" s="1">
        <v>2.230769E-12</v>
      </c>
      <c r="E77">
        <v>10</v>
      </c>
      <c r="F77" s="1">
        <v>0.02</v>
      </c>
      <c r="G77" s="1">
        <v>0.1662989</v>
      </c>
      <c r="H77" s="1">
        <v>1.735047E-3</v>
      </c>
      <c r="I77" s="1">
        <v>1.955708E-4</v>
      </c>
      <c r="J77" s="1">
        <v>2.532884E-3</v>
      </c>
      <c r="K77" s="1">
        <v>7.0244030000000002E-4</v>
      </c>
      <c r="Q77" s="1">
        <v>1.2E-2</v>
      </c>
      <c r="R77">
        <v>500</v>
      </c>
      <c r="S77" s="1">
        <v>1.4590069999999999E-13</v>
      </c>
      <c r="T77" s="1">
        <v>1.6483240000000001E-12</v>
      </c>
      <c r="U77">
        <v>8</v>
      </c>
      <c r="V77" s="1">
        <v>1.6E-2</v>
      </c>
      <c r="W77" s="1">
        <v>0.16673209999999999</v>
      </c>
      <c r="X77" s="1">
        <v>1.020456E-2</v>
      </c>
      <c r="Y77" s="1">
        <v>5.6914119999999996E-4</v>
      </c>
      <c r="Z77" s="1">
        <v>2.4710829999999998E-3</v>
      </c>
      <c r="AA77" s="1">
        <v>6.5139780000000001E-4</v>
      </c>
    </row>
    <row r="78" spans="1:27" x14ac:dyDescent="0.3">
      <c r="A78" s="1"/>
      <c r="C78" s="1"/>
      <c r="D78" s="1"/>
      <c r="F78" s="1"/>
      <c r="G78" s="1"/>
      <c r="H78" s="1"/>
      <c r="I78" s="1"/>
      <c r="J78" s="1"/>
      <c r="K78" s="1"/>
      <c r="Q78" s="1"/>
      <c r="S78" s="1"/>
      <c r="T78" s="1"/>
      <c r="V78" s="1"/>
      <c r="W78" s="1"/>
      <c r="X78" s="1"/>
      <c r="Y78" s="1"/>
      <c r="Z78" s="1"/>
      <c r="AA78" s="1"/>
    </row>
    <row r="79" spans="1:27" x14ac:dyDescent="0.3">
      <c r="A79" t="s">
        <v>9</v>
      </c>
      <c r="Q79" t="s">
        <v>9</v>
      </c>
    </row>
    <row r="82" spans="1:27" x14ac:dyDescent="0.3">
      <c r="A82" t="s">
        <v>9</v>
      </c>
      <c r="R82">
        <v>0</v>
      </c>
    </row>
    <row r="83" spans="1:27" x14ac:dyDescent="0.3">
      <c r="Q83" t="s">
        <v>1</v>
      </c>
      <c r="R83" t="s">
        <v>2</v>
      </c>
      <c r="S83" t="s">
        <v>3</v>
      </c>
      <c r="T83" t="s">
        <v>4</v>
      </c>
      <c r="U83" t="s">
        <v>5</v>
      </c>
      <c r="V83" t="s">
        <v>6</v>
      </c>
      <c r="W83" t="s">
        <v>4</v>
      </c>
      <c r="X83" t="s">
        <v>7</v>
      </c>
      <c r="Y83" t="s">
        <v>4</v>
      </c>
      <c r="Z83" t="s">
        <v>8</v>
      </c>
      <c r="AA83" t="s">
        <v>4</v>
      </c>
    </row>
    <row r="84" spans="1:27" x14ac:dyDescent="0.3">
      <c r="Q84" s="1">
        <v>1.2E-2</v>
      </c>
      <c r="R84">
        <v>500</v>
      </c>
      <c r="S84" s="1">
        <v>4.0357609999999999E-14</v>
      </c>
      <c r="T84" s="1">
        <v>1.563038E-12</v>
      </c>
      <c r="U84">
        <v>6</v>
      </c>
      <c r="V84" s="1">
        <v>1.2E-2</v>
      </c>
      <c r="W84" s="1">
        <v>0.12604670000000001</v>
      </c>
      <c r="X84" s="1">
        <v>1.010015E-2</v>
      </c>
      <c r="Y84" s="1">
        <v>5.2895030000000003E-4</v>
      </c>
      <c r="Z84" s="1">
        <v>2.476504E-3</v>
      </c>
      <c r="AA84" s="1">
        <v>6.6812239999999997E-4</v>
      </c>
    </row>
    <row r="85" spans="1:27" x14ac:dyDescent="0.3">
      <c r="B85">
        <v>0</v>
      </c>
      <c r="Q85" s="1"/>
      <c r="S85" s="1"/>
      <c r="T85" s="1"/>
      <c r="V85" s="1"/>
      <c r="W85" s="1"/>
      <c r="X85" s="1"/>
      <c r="Y85" s="1"/>
      <c r="Z85" s="1"/>
      <c r="AA85" s="1"/>
    </row>
    <row r="86" spans="1:27" x14ac:dyDescent="0.3">
      <c r="A86" t="s">
        <v>1</v>
      </c>
      <c r="B86" t="s">
        <v>2</v>
      </c>
      <c r="C86" t="s">
        <v>3</v>
      </c>
      <c r="D86" t="s">
        <v>4</v>
      </c>
      <c r="E86" t="s">
        <v>5</v>
      </c>
      <c r="F86" t="s">
        <v>6</v>
      </c>
      <c r="G86" t="s">
        <v>4</v>
      </c>
      <c r="H86" t="s">
        <v>7</v>
      </c>
      <c r="I86" t="s">
        <v>4</v>
      </c>
      <c r="J86" t="s">
        <v>8</v>
      </c>
      <c r="K86" t="s">
        <v>4</v>
      </c>
      <c r="Q86" t="s">
        <v>9</v>
      </c>
    </row>
    <row r="87" spans="1:27" x14ac:dyDescent="0.3">
      <c r="A87" s="1">
        <v>1.2E-2</v>
      </c>
      <c r="B87">
        <v>500</v>
      </c>
      <c r="C87" s="1">
        <v>1.7131320000000001E-13</v>
      </c>
      <c r="D87" s="1">
        <v>1.7366969999999999E-12</v>
      </c>
      <c r="E87">
        <v>8</v>
      </c>
      <c r="F87" s="1">
        <v>1.6E-2</v>
      </c>
      <c r="G87" s="1">
        <v>0.1406541</v>
      </c>
      <c r="H87" s="1">
        <v>1.7133890000000001E-3</v>
      </c>
      <c r="I87" s="1">
        <v>1.7165980000000001E-4</v>
      </c>
      <c r="J87" s="1">
        <v>2.4250029999999998E-3</v>
      </c>
      <c r="K87" s="1">
        <v>6.263773E-4</v>
      </c>
    </row>
    <row r="88" spans="1:27" x14ac:dyDescent="0.3">
      <c r="A88" s="1"/>
      <c r="C88" s="1"/>
      <c r="D88" s="1"/>
      <c r="F88" s="1"/>
      <c r="G88" s="1"/>
      <c r="H88" s="1"/>
      <c r="I88" s="1"/>
      <c r="J88" s="1"/>
      <c r="K88" s="1"/>
    </row>
    <row r="89" spans="1:27" x14ac:dyDescent="0.3">
      <c r="A89" t="s">
        <v>9</v>
      </c>
      <c r="Q89" t="s">
        <v>9</v>
      </c>
    </row>
    <row r="92" spans="1:27" x14ac:dyDescent="0.3">
      <c r="B92">
        <v>0</v>
      </c>
      <c r="Q92" s="1"/>
      <c r="R92">
        <v>0</v>
      </c>
      <c r="S92" s="1"/>
      <c r="T92" s="1"/>
      <c r="V92" s="1"/>
      <c r="W92" s="1"/>
      <c r="X92" s="1"/>
      <c r="Y92" s="1"/>
      <c r="Z92" s="1"/>
      <c r="AA92" s="1"/>
    </row>
    <row r="93" spans="1:27" x14ac:dyDescent="0.3">
      <c r="A93" t="s">
        <v>1</v>
      </c>
      <c r="B93" t="s">
        <v>2</v>
      </c>
      <c r="C93" t="s">
        <v>3</v>
      </c>
      <c r="D93" t="s">
        <v>4</v>
      </c>
      <c r="E93" t="s">
        <v>5</v>
      </c>
      <c r="F93" t="s">
        <v>6</v>
      </c>
      <c r="G93" t="s">
        <v>4</v>
      </c>
      <c r="H93" t="s">
        <v>7</v>
      </c>
      <c r="I93" t="s">
        <v>4</v>
      </c>
      <c r="J93" t="s">
        <v>8</v>
      </c>
      <c r="K93" t="s">
        <v>4</v>
      </c>
      <c r="Q93" t="s">
        <v>1</v>
      </c>
      <c r="R93" t="s">
        <v>2</v>
      </c>
      <c r="S93" t="s">
        <v>3</v>
      </c>
      <c r="T93" t="s">
        <v>4</v>
      </c>
      <c r="U93" t="s">
        <v>5</v>
      </c>
      <c r="V93" t="s">
        <v>6</v>
      </c>
      <c r="W93" t="s">
        <v>4</v>
      </c>
      <c r="X93" t="s">
        <v>7</v>
      </c>
      <c r="Y93" t="s">
        <v>4</v>
      </c>
      <c r="Z93" t="s">
        <v>8</v>
      </c>
      <c r="AA93" t="s">
        <v>4</v>
      </c>
    </row>
    <row r="94" spans="1:27" x14ac:dyDescent="0.3">
      <c r="A94" s="1">
        <v>1.2E-2</v>
      </c>
      <c r="B94">
        <v>500</v>
      </c>
      <c r="C94" s="1">
        <v>1.6632760000000001E-13</v>
      </c>
      <c r="D94" s="1">
        <v>1.9979769999999998E-12</v>
      </c>
      <c r="E94">
        <v>4</v>
      </c>
      <c r="F94" s="1">
        <v>8.0000000000000002E-3</v>
      </c>
      <c r="G94" s="1">
        <v>8.9173450000000001E-2</v>
      </c>
      <c r="H94" s="1">
        <v>1.71561E-3</v>
      </c>
      <c r="I94" s="1">
        <v>1.7617300000000001E-4</v>
      </c>
      <c r="J94" s="1">
        <v>2.3875960000000001E-3</v>
      </c>
      <c r="K94" s="1">
        <v>5.9677199999999997E-4</v>
      </c>
      <c r="Q94" s="1">
        <v>1.2E-2</v>
      </c>
      <c r="R94">
        <v>500</v>
      </c>
      <c r="S94" s="1">
        <v>1.387421E-13</v>
      </c>
      <c r="T94" s="1">
        <v>1.738477E-12</v>
      </c>
      <c r="U94">
        <v>8</v>
      </c>
      <c r="V94" s="1">
        <v>1.6E-2</v>
      </c>
      <c r="W94" s="1">
        <v>0.12560080000000001</v>
      </c>
      <c r="X94" s="1">
        <v>1.015346E-2</v>
      </c>
      <c r="Y94" s="1">
        <v>5.4972150000000004E-4</v>
      </c>
      <c r="Z94" s="1">
        <v>2.5252949999999999E-3</v>
      </c>
      <c r="AA94" s="1">
        <v>6.9416210000000005E-4</v>
      </c>
    </row>
    <row r="95" spans="1:27" x14ac:dyDescent="0.3">
      <c r="A95" s="1"/>
      <c r="C95" s="1"/>
      <c r="D95" s="1"/>
      <c r="F95" s="1"/>
      <c r="G95" s="1"/>
      <c r="H95" s="1"/>
      <c r="I95" s="1"/>
      <c r="J95" s="1"/>
      <c r="K95" s="1"/>
    </row>
    <row r="96" spans="1:27" x14ac:dyDescent="0.3">
      <c r="A96" t="s">
        <v>9</v>
      </c>
      <c r="Q96" t="s">
        <v>9</v>
      </c>
    </row>
    <row r="99" spans="1:27" x14ac:dyDescent="0.3">
      <c r="B99">
        <v>0</v>
      </c>
      <c r="Q99" s="1"/>
      <c r="R99">
        <v>0</v>
      </c>
      <c r="S99" s="1"/>
      <c r="T99" s="1"/>
      <c r="V99" s="1"/>
      <c r="W99" s="1"/>
      <c r="X99" s="1"/>
      <c r="Y99" s="1"/>
      <c r="Z99" s="1"/>
      <c r="AA99" s="1"/>
    </row>
    <row r="100" spans="1:27" x14ac:dyDescent="0.3">
      <c r="A100" t="s">
        <v>1</v>
      </c>
      <c r="B100" t="s">
        <v>2</v>
      </c>
      <c r="C100" t="s">
        <v>3</v>
      </c>
      <c r="D100" t="s">
        <v>4</v>
      </c>
      <c r="E100" t="s">
        <v>5</v>
      </c>
      <c r="F100" t="s">
        <v>6</v>
      </c>
      <c r="G100" t="s">
        <v>4</v>
      </c>
      <c r="H100" t="s">
        <v>7</v>
      </c>
      <c r="I100" t="s">
        <v>4</v>
      </c>
      <c r="J100" t="s">
        <v>8</v>
      </c>
      <c r="K100" t="s">
        <v>4</v>
      </c>
      <c r="Q100" t="s">
        <v>1</v>
      </c>
      <c r="R100" t="s">
        <v>2</v>
      </c>
      <c r="S100" t="s">
        <v>3</v>
      </c>
      <c r="T100" t="s">
        <v>4</v>
      </c>
      <c r="U100" t="s">
        <v>5</v>
      </c>
      <c r="V100" t="s">
        <v>6</v>
      </c>
      <c r="W100" t="s">
        <v>4</v>
      </c>
      <c r="X100" t="s">
        <v>7</v>
      </c>
      <c r="Y100" t="s">
        <v>4</v>
      </c>
      <c r="Z100" t="s">
        <v>8</v>
      </c>
      <c r="AA100" t="s">
        <v>4</v>
      </c>
    </row>
    <row r="101" spans="1:27" x14ac:dyDescent="0.3">
      <c r="A101" s="1">
        <v>1.2E-2</v>
      </c>
      <c r="B101">
        <v>500</v>
      </c>
      <c r="C101" s="1">
        <v>1.6718470000000001E-13</v>
      </c>
      <c r="D101" s="1">
        <v>1.6727380000000001E-12</v>
      </c>
      <c r="E101">
        <v>4</v>
      </c>
      <c r="F101" s="1">
        <v>8.0000000000000002E-3</v>
      </c>
      <c r="G101" s="1">
        <v>1.0340320000000001</v>
      </c>
      <c r="H101" s="1">
        <v>1.726717E-3</v>
      </c>
      <c r="I101" s="1">
        <v>1.761028E-4</v>
      </c>
      <c r="J101" s="1">
        <v>2.4401819999999999E-3</v>
      </c>
      <c r="K101" s="1">
        <v>6.2836939999999996E-4</v>
      </c>
      <c r="Q101" s="1">
        <v>1.2E-2</v>
      </c>
      <c r="R101">
        <v>500</v>
      </c>
      <c r="S101" s="1">
        <v>2.1990600000000001E-13</v>
      </c>
      <c r="T101" s="1">
        <v>2.3183220000000001E-12</v>
      </c>
      <c r="U101">
        <v>8</v>
      </c>
      <c r="V101" s="1">
        <v>1.6E-2</v>
      </c>
      <c r="W101" s="1">
        <v>0.12560080000000001</v>
      </c>
      <c r="X101" s="1">
        <v>1.0079050000000001E-2</v>
      </c>
      <c r="Y101" s="1">
        <v>5.6302170000000005E-4</v>
      </c>
      <c r="Z101" s="1">
        <v>2.4710829999999998E-3</v>
      </c>
      <c r="AA101" s="1">
        <v>6.3002550000000005E-4</v>
      </c>
    </row>
    <row r="102" spans="1:27" x14ac:dyDescent="0.3">
      <c r="A102" s="1"/>
      <c r="C102" s="1"/>
      <c r="D102" s="1"/>
      <c r="F102" s="1"/>
      <c r="G102" s="1"/>
      <c r="H102" s="1"/>
      <c r="I102" s="1"/>
      <c r="J102" s="1"/>
      <c r="K102" s="1"/>
    </row>
    <row r="103" spans="1:27" x14ac:dyDescent="0.3">
      <c r="A103" t="s">
        <v>9</v>
      </c>
      <c r="Q103" t="s">
        <v>9</v>
      </c>
    </row>
    <row r="106" spans="1:27" x14ac:dyDescent="0.3">
      <c r="B106">
        <v>0</v>
      </c>
      <c r="Q106" s="1" t="s">
        <v>9</v>
      </c>
      <c r="S106" s="1"/>
      <c r="T106" s="1"/>
      <c r="V106" s="1"/>
      <c r="W106" s="1"/>
      <c r="X106" s="1"/>
      <c r="Y106" s="1"/>
      <c r="Z106" s="1"/>
      <c r="AA106" s="1"/>
    </row>
    <row r="107" spans="1:27" x14ac:dyDescent="0.3">
      <c r="A107" t="s">
        <v>1</v>
      </c>
      <c r="B107" t="s">
        <v>2</v>
      </c>
      <c r="C107" t="s">
        <v>3</v>
      </c>
      <c r="D107" t="s">
        <v>4</v>
      </c>
      <c r="E107" t="s">
        <v>5</v>
      </c>
      <c r="F107" t="s">
        <v>6</v>
      </c>
      <c r="G107" t="s">
        <v>4</v>
      </c>
      <c r="H107" t="s">
        <v>7</v>
      </c>
      <c r="I107" t="s">
        <v>4</v>
      </c>
      <c r="J107" t="s">
        <v>8</v>
      </c>
      <c r="K107" t="s">
        <v>4</v>
      </c>
    </row>
    <row r="108" spans="1:27" x14ac:dyDescent="0.3">
      <c r="A108" s="1">
        <v>1.9E-2</v>
      </c>
      <c r="B108">
        <v>500</v>
      </c>
      <c r="C108" s="1">
        <v>2.4319920000000001E-13</v>
      </c>
      <c r="D108" s="1">
        <v>1.9727979999999999E-12</v>
      </c>
      <c r="E108">
        <v>6</v>
      </c>
      <c r="F108" s="1">
        <v>1.2E-2</v>
      </c>
      <c r="G108" s="1">
        <v>0.1089943</v>
      </c>
      <c r="H108" s="1">
        <v>1.7150550000000001E-3</v>
      </c>
      <c r="I108" s="1">
        <v>1.735068E-4</v>
      </c>
      <c r="J108" s="1">
        <v>3.284262E-3</v>
      </c>
      <c r="K108" s="1">
        <v>7.9271409999999995E-4</v>
      </c>
    </row>
    <row r="109" spans="1:27" x14ac:dyDescent="0.3">
      <c r="Q109" t="s">
        <v>9</v>
      </c>
    </row>
    <row r="110" spans="1:27" x14ac:dyDescent="0.3">
      <c r="A110" t="s">
        <v>9</v>
      </c>
    </row>
    <row r="112" spans="1:27" x14ac:dyDescent="0.3">
      <c r="A112" s="1"/>
      <c r="C112" s="1"/>
      <c r="D112" s="1"/>
      <c r="F112" s="1"/>
      <c r="G112" s="1"/>
      <c r="H112" s="1"/>
      <c r="I112" s="1"/>
      <c r="J112" s="1"/>
      <c r="K112" s="1"/>
      <c r="R112">
        <v>0</v>
      </c>
    </row>
    <row r="113" spans="1:27" x14ac:dyDescent="0.3">
      <c r="B113">
        <v>0</v>
      </c>
      <c r="Q113" s="1" t="s">
        <v>1</v>
      </c>
      <c r="R113" t="s">
        <v>2</v>
      </c>
      <c r="S113" s="1" t="s">
        <v>3</v>
      </c>
      <c r="T113" s="1" t="s">
        <v>4</v>
      </c>
      <c r="U113" t="s">
        <v>5</v>
      </c>
      <c r="V113" s="1" t="s">
        <v>6</v>
      </c>
      <c r="W113" s="1" t="s">
        <v>4</v>
      </c>
      <c r="X113" s="1" t="s">
        <v>7</v>
      </c>
      <c r="Y113" s="1" t="s">
        <v>4</v>
      </c>
      <c r="Z113" s="1" t="s">
        <v>8</v>
      </c>
      <c r="AA113" s="1" t="s">
        <v>4</v>
      </c>
    </row>
    <row r="114" spans="1:27" x14ac:dyDescent="0.3">
      <c r="A114" t="s">
        <v>1</v>
      </c>
      <c r="B114" t="s">
        <v>2</v>
      </c>
      <c r="C114" t="s">
        <v>3</v>
      </c>
      <c r="D114" t="s">
        <v>4</v>
      </c>
      <c r="E114" t="s">
        <v>5</v>
      </c>
      <c r="F114" t="s">
        <v>6</v>
      </c>
      <c r="G114" t="s">
        <v>4</v>
      </c>
      <c r="H114" t="s">
        <v>7</v>
      </c>
      <c r="I114" t="s">
        <v>4</v>
      </c>
      <c r="J114" t="s">
        <v>8</v>
      </c>
      <c r="K114" t="s">
        <v>4</v>
      </c>
      <c r="Q114" s="1">
        <v>1.9E-2</v>
      </c>
      <c r="R114">
        <v>500</v>
      </c>
      <c r="S114" s="1">
        <v>5.608834E-14</v>
      </c>
      <c r="T114" s="1">
        <v>1.4907769999999999E-12</v>
      </c>
      <c r="U114">
        <v>6</v>
      </c>
      <c r="V114" s="1">
        <v>1.2E-2</v>
      </c>
      <c r="W114" s="1">
        <v>0.1089943</v>
      </c>
      <c r="X114" s="1">
        <v>1.024398E-2</v>
      </c>
      <c r="Y114" s="1">
        <v>5.2227700000000003E-4</v>
      </c>
      <c r="Z114" s="1">
        <v>3.2642040000000002E-3</v>
      </c>
      <c r="AA114" s="1">
        <v>8.2205410000000005E-4</v>
      </c>
    </row>
    <row r="115" spans="1:27" x14ac:dyDescent="0.3">
      <c r="A115" s="1">
        <v>1.9E-2</v>
      </c>
      <c r="B115">
        <v>500</v>
      </c>
      <c r="C115" s="1">
        <v>1.1477190000000001E-13</v>
      </c>
      <c r="D115" s="1">
        <v>1.567245E-12</v>
      </c>
      <c r="E115">
        <v>5</v>
      </c>
      <c r="F115" s="1">
        <v>0.01</v>
      </c>
      <c r="G115" s="1">
        <v>9.9598389999999995E-2</v>
      </c>
      <c r="H115" s="1">
        <v>1.72394E-3</v>
      </c>
      <c r="I115" s="1">
        <v>1.717453E-4</v>
      </c>
      <c r="J115" s="1">
        <v>3.2994420000000001E-3</v>
      </c>
      <c r="K115" s="1">
        <v>8.876515E-4</v>
      </c>
    </row>
    <row r="116" spans="1:27" x14ac:dyDescent="0.3">
      <c r="Q116" t="s">
        <v>9</v>
      </c>
    </row>
    <row r="117" spans="1:27" x14ac:dyDescent="0.3">
      <c r="A117" t="s">
        <v>9</v>
      </c>
    </row>
    <row r="119" spans="1:27" x14ac:dyDescent="0.3">
      <c r="A119" s="1"/>
      <c r="C119" s="1"/>
      <c r="D119" s="1"/>
      <c r="F119" s="1"/>
      <c r="G119" s="1"/>
      <c r="H119" s="1"/>
      <c r="I119" s="1"/>
      <c r="J119" s="1"/>
      <c r="K119" s="1"/>
      <c r="R119">
        <v>0</v>
      </c>
    </row>
    <row r="120" spans="1:27" x14ac:dyDescent="0.3">
      <c r="B120">
        <v>0</v>
      </c>
      <c r="Q120" s="1" t="s">
        <v>1</v>
      </c>
      <c r="R120" t="s">
        <v>2</v>
      </c>
      <c r="S120" s="1" t="s">
        <v>3</v>
      </c>
      <c r="T120" s="1" t="s">
        <v>4</v>
      </c>
      <c r="U120" t="s">
        <v>5</v>
      </c>
      <c r="V120" s="1" t="s">
        <v>6</v>
      </c>
      <c r="W120" s="1" t="s">
        <v>4</v>
      </c>
      <c r="X120" s="1" t="s">
        <v>7</v>
      </c>
      <c r="Y120" s="1" t="s">
        <v>4</v>
      </c>
      <c r="Z120" s="1" t="s">
        <v>8</v>
      </c>
      <c r="AA120" s="1" t="s">
        <v>4</v>
      </c>
    </row>
    <row r="121" spans="1:27" x14ac:dyDescent="0.3">
      <c r="A121" t="s">
        <v>1</v>
      </c>
      <c r="B121" t="s">
        <v>2</v>
      </c>
      <c r="C121" t="s">
        <v>3</v>
      </c>
      <c r="D121" t="s">
        <v>4</v>
      </c>
      <c r="E121" t="s">
        <v>5</v>
      </c>
      <c r="F121" t="s">
        <v>6</v>
      </c>
      <c r="G121" t="s">
        <v>4</v>
      </c>
      <c r="H121" t="s">
        <v>7</v>
      </c>
      <c r="I121" t="s">
        <v>4</v>
      </c>
      <c r="J121" t="s">
        <v>8</v>
      </c>
      <c r="K121" t="s">
        <v>4</v>
      </c>
      <c r="Q121" s="1">
        <v>1.9E-2</v>
      </c>
      <c r="R121">
        <v>500</v>
      </c>
      <c r="S121" s="1">
        <v>1.100229E-13</v>
      </c>
      <c r="T121" s="1">
        <v>1.920732E-12</v>
      </c>
      <c r="U121">
        <v>10</v>
      </c>
      <c r="V121" s="1">
        <v>0.02</v>
      </c>
      <c r="W121" s="1">
        <v>0.15377679999999999</v>
      </c>
      <c r="X121" s="1">
        <v>1.020011E-2</v>
      </c>
      <c r="Y121" s="1">
        <v>5.4851040000000002E-4</v>
      </c>
      <c r="Z121" s="1">
        <v>3.2636620000000001E-3</v>
      </c>
      <c r="AA121" s="1">
        <v>8.1415679999999996E-4</v>
      </c>
    </row>
    <row r="122" spans="1:27" x14ac:dyDescent="0.3">
      <c r="A122" s="1">
        <v>1.9E-2</v>
      </c>
      <c r="B122">
        <v>500</v>
      </c>
      <c r="C122" s="1">
        <v>2.7978110000000001E-14</v>
      </c>
      <c r="D122" s="1">
        <v>1.848721E-12</v>
      </c>
      <c r="E122">
        <v>5</v>
      </c>
      <c r="F122" s="1">
        <v>0.01</v>
      </c>
      <c r="G122" s="1">
        <v>9.9598389999999995E-2</v>
      </c>
      <c r="H122" s="1">
        <v>1.733381E-3</v>
      </c>
      <c r="I122" s="1">
        <v>1.730654E-4</v>
      </c>
      <c r="J122" s="1">
        <v>3.4225029999999999E-3</v>
      </c>
      <c r="K122" s="1">
        <v>9.2553670000000005E-4</v>
      </c>
    </row>
    <row r="123" spans="1:27" x14ac:dyDescent="0.3">
      <c r="Q123" t="s">
        <v>9</v>
      </c>
    </row>
    <row r="124" spans="1:27" x14ac:dyDescent="0.3">
      <c r="A124" t="s">
        <v>9</v>
      </c>
    </row>
    <row r="126" spans="1:27" x14ac:dyDescent="0.3">
      <c r="A126" s="1"/>
      <c r="C126" s="1"/>
      <c r="D126" s="1"/>
      <c r="F126" s="1"/>
      <c r="G126" s="1"/>
      <c r="H126" s="1"/>
      <c r="I126" s="1"/>
      <c r="J126" s="1"/>
      <c r="K126" s="1"/>
      <c r="R126">
        <v>0</v>
      </c>
    </row>
    <row r="127" spans="1:27" x14ac:dyDescent="0.3">
      <c r="B127">
        <v>0</v>
      </c>
      <c r="Q127" s="1" t="s">
        <v>1</v>
      </c>
      <c r="R127" t="s">
        <v>2</v>
      </c>
      <c r="S127" s="1" t="s">
        <v>3</v>
      </c>
      <c r="T127" s="1" t="s">
        <v>4</v>
      </c>
      <c r="U127" t="s">
        <v>5</v>
      </c>
      <c r="V127" s="1" t="s">
        <v>6</v>
      </c>
      <c r="W127" s="1" t="s">
        <v>4</v>
      </c>
      <c r="X127" s="1" t="s">
        <v>7</v>
      </c>
      <c r="Y127" s="1" t="s">
        <v>4</v>
      </c>
      <c r="Z127" s="1" t="s">
        <v>8</v>
      </c>
      <c r="AA127" s="1" t="s">
        <v>4</v>
      </c>
    </row>
    <row r="128" spans="1:27" x14ac:dyDescent="0.3">
      <c r="A128" t="s">
        <v>1</v>
      </c>
      <c r="B128" t="s">
        <v>2</v>
      </c>
      <c r="C128" t="s">
        <v>3</v>
      </c>
      <c r="D128" t="s">
        <v>4</v>
      </c>
      <c r="E128" t="s">
        <v>5</v>
      </c>
      <c r="F128" t="s">
        <v>6</v>
      </c>
      <c r="G128" t="s">
        <v>4</v>
      </c>
      <c r="H128" t="s">
        <v>7</v>
      </c>
      <c r="I128" t="s">
        <v>4</v>
      </c>
      <c r="J128" t="s">
        <v>8</v>
      </c>
      <c r="K128" t="s">
        <v>4</v>
      </c>
      <c r="Q128" s="1">
        <v>1.9E-2</v>
      </c>
      <c r="R128">
        <v>500</v>
      </c>
      <c r="S128" s="1">
        <v>8.1970519999999998E-15</v>
      </c>
      <c r="T128" s="1">
        <v>1.3319029999999999E-12</v>
      </c>
      <c r="U128">
        <v>4</v>
      </c>
      <c r="V128" s="1">
        <v>8.0000000000000002E-3</v>
      </c>
      <c r="W128" s="1">
        <v>8.9173450000000001E-2</v>
      </c>
      <c r="X128" s="1">
        <v>1.0271199999999999E-2</v>
      </c>
      <c r="Y128" s="1">
        <v>5.256379E-4</v>
      </c>
      <c r="Z128" s="1">
        <v>3.3541959999999998E-3</v>
      </c>
      <c r="AA128" s="1">
        <v>7.8037289999999997E-4</v>
      </c>
    </row>
    <row r="129" spans="1:27" x14ac:dyDescent="0.3">
      <c r="A129" s="1">
        <v>1.9E-2</v>
      </c>
      <c r="B129">
        <v>500</v>
      </c>
      <c r="C129" s="1">
        <v>5.0937359999999997E-14</v>
      </c>
      <c r="D129" s="1">
        <v>1.390076E-12</v>
      </c>
      <c r="E129">
        <v>4</v>
      </c>
      <c r="F129" s="1">
        <v>8.0000000000000002E-3</v>
      </c>
      <c r="G129" s="1">
        <v>8.9173450000000001E-2</v>
      </c>
      <c r="H129" s="1">
        <v>1.7211629999999999E-3</v>
      </c>
      <c r="I129" s="1">
        <v>1.7883659999999999E-4</v>
      </c>
      <c r="J129" s="1">
        <v>3.3189579999999999E-3</v>
      </c>
      <c r="K129" s="1">
        <v>8.7791620000000003E-4</v>
      </c>
    </row>
    <row r="130" spans="1:27" x14ac:dyDescent="0.3">
      <c r="Q130" t="s">
        <v>9</v>
      </c>
    </row>
    <row r="131" spans="1:27" x14ac:dyDescent="0.3">
      <c r="A131" t="s">
        <v>9</v>
      </c>
    </row>
    <row r="133" spans="1:27" x14ac:dyDescent="0.3">
      <c r="R133">
        <v>0</v>
      </c>
    </row>
    <row r="134" spans="1:27" x14ac:dyDescent="0.3">
      <c r="B134">
        <v>0</v>
      </c>
      <c r="Q134" s="1" t="s">
        <v>1</v>
      </c>
      <c r="R134" t="s">
        <v>2</v>
      </c>
      <c r="S134" s="1" t="s">
        <v>3</v>
      </c>
      <c r="T134" s="1" t="s">
        <v>4</v>
      </c>
      <c r="U134" t="s">
        <v>5</v>
      </c>
      <c r="V134" s="1" t="s">
        <v>6</v>
      </c>
      <c r="W134" s="1" t="s">
        <v>4</v>
      </c>
      <c r="X134" s="1" t="s">
        <v>7</v>
      </c>
      <c r="Y134" s="1" t="s">
        <v>4</v>
      </c>
      <c r="Z134" s="1" t="s">
        <v>8</v>
      </c>
      <c r="AA134" s="1" t="s">
        <v>4</v>
      </c>
    </row>
    <row r="135" spans="1:27" x14ac:dyDescent="0.3">
      <c r="A135" t="s">
        <v>1</v>
      </c>
      <c r="B135" t="s">
        <v>2</v>
      </c>
      <c r="C135" t="s">
        <v>3</v>
      </c>
      <c r="D135" t="s">
        <v>4</v>
      </c>
      <c r="E135" t="s">
        <v>5</v>
      </c>
      <c r="F135" t="s">
        <v>6</v>
      </c>
      <c r="G135" t="s">
        <v>4</v>
      </c>
      <c r="H135" t="s">
        <v>7</v>
      </c>
      <c r="I135" t="s">
        <v>4</v>
      </c>
      <c r="J135" t="s">
        <v>8</v>
      </c>
      <c r="K135" t="s">
        <v>4</v>
      </c>
      <c r="Q135" s="1">
        <v>1.9E-2</v>
      </c>
      <c r="R135">
        <v>500</v>
      </c>
      <c r="S135" s="1">
        <v>9.1578920000000005E-14</v>
      </c>
      <c r="T135" s="1">
        <v>1.86895E-12</v>
      </c>
      <c r="U135">
        <v>7</v>
      </c>
      <c r="V135" s="1">
        <v>1.4E-2</v>
      </c>
      <c r="W135" s="1">
        <v>0.11760809999999999</v>
      </c>
      <c r="X135" s="1">
        <v>1.017068E-2</v>
      </c>
      <c r="Y135" s="1">
        <v>5.759405E-4</v>
      </c>
      <c r="Z135" s="1">
        <v>3.2576990000000002E-3</v>
      </c>
      <c r="AA135" s="1">
        <v>8.3895349999999998E-4</v>
      </c>
    </row>
    <row r="136" spans="1:27" x14ac:dyDescent="0.3">
      <c r="A136" s="1">
        <v>1.9E-2</v>
      </c>
      <c r="B136">
        <v>500</v>
      </c>
      <c r="C136" s="1">
        <v>1.202198E-13</v>
      </c>
      <c r="D136" s="1">
        <v>1.415873E-12</v>
      </c>
      <c r="E136">
        <v>2</v>
      </c>
      <c r="F136" s="1">
        <v>4.0000000000000001E-3</v>
      </c>
      <c r="G136" s="1">
        <v>6.3182150000000006E-2</v>
      </c>
      <c r="H136" s="1">
        <v>1.7339359999999999E-3</v>
      </c>
      <c r="I136" s="1">
        <v>2.0110500000000001E-4</v>
      </c>
      <c r="J136" s="1">
        <v>3.4544879999999999E-3</v>
      </c>
      <c r="K136" s="1">
        <v>9.1944990000000001E-4</v>
      </c>
    </row>
    <row r="137" spans="1:27" x14ac:dyDescent="0.3">
      <c r="Q137" t="s">
        <v>9</v>
      </c>
    </row>
    <row r="138" spans="1:27" x14ac:dyDescent="0.3">
      <c r="A138" t="s">
        <v>9</v>
      </c>
    </row>
    <row r="140" spans="1:27" x14ac:dyDescent="0.3">
      <c r="R140">
        <v>0</v>
      </c>
    </row>
    <row r="141" spans="1:27" x14ac:dyDescent="0.3">
      <c r="B141">
        <v>0</v>
      </c>
      <c r="Q141" s="1" t="s">
        <v>1</v>
      </c>
      <c r="R141" t="s">
        <v>2</v>
      </c>
      <c r="S141" s="1" t="s">
        <v>3</v>
      </c>
      <c r="T141" s="1" t="s">
        <v>4</v>
      </c>
      <c r="U141" t="s">
        <v>5</v>
      </c>
      <c r="V141" s="1" t="s">
        <v>6</v>
      </c>
      <c r="W141" s="1" t="s">
        <v>4</v>
      </c>
      <c r="X141" s="1" t="s">
        <v>7</v>
      </c>
      <c r="Y141" s="1" t="s">
        <v>4</v>
      </c>
      <c r="Z141" s="1" t="s">
        <v>8</v>
      </c>
      <c r="AA141" s="1" t="s">
        <v>4</v>
      </c>
    </row>
    <row r="142" spans="1:27" x14ac:dyDescent="0.3">
      <c r="A142" t="s">
        <v>1</v>
      </c>
      <c r="B142" t="s">
        <v>2</v>
      </c>
      <c r="C142" t="s">
        <v>3</v>
      </c>
      <c r="D142" t="s">
        <v>4</v>
      </c>
      <c r="E142" t="s">
        <v>5</v>
      </c>
      <c r="F142" t="s">
        <v>6</v>
      </c>
      <c r="G142" t="s">
        <v>4</v>
      </c>
      <c r="H142" t="s">
        <v>7</v>
      </c>
      <c r="I142" t="s">
        <v>4</v>
      </c>
      <c r="J142" t="s">
        <v>8</v>
      </c>
      <c r="K142" t="s">
        <v>4</v>
      </c>
      <c r="Q142" s="1">
        <v>1.9E-2</v>
      </c>
      <c r="R142">
        <v>500</v>
      </c>
      <c r="S142" s="1">
        <v>1.703204E-13</v>
      </c>
      <c r="T142" s="1">
        <v>1.972675E-12</v>
      </c>
      <c r="U142">
        <v>10</v>
      </c>
      <c r="V142" s="1">
        <v>0.02</v>
      </c>
      <c r="W142" s="1">
        <v>0.20901529999999999</v>
      </c>
      <c r="X142" s="1">
        <v>1.0191779999999999E-2</v>
      </c>
      <c r="Y142" s="1">
        <v>5.4052980000000004E-4</v>
      </c>
      <c r="Z142" s="1">
        <v>3.3422690000000001E-3</v>
      </c>
      <c r="AA142" s="1">
        <v>8.6884940000000002E-4</v>
      </c>
    </row>
    <row r="143" spans="1:27" x14ac:dyDescent="0.3">
      <c r="A143" s="1">
        <v>1.9E-2</v>
      </c>
      <c r="B143">
        <v>500</v>
      </c>
      <c r="C143" s="1">
        <v>9.6514030000000004E-14</v>
      </c>
      <c r="D143" s="1">
        <v>1.4665490000000001E-12</v>
      </c>
      <c r="E143">
        <v>4</v>
      </c>
      <c r="F143" s="1">
        <v>8.0000000000000002E-3</v>
      </c>
      <c r="G143" s="1">
        <v>0.1093614</v>
      </c>
      <c r="H143" s="1">
        <v>1.726717E-3</v>
      </c>
      <c r="I143" s="1">
        <v>1.7784889999999999E-4</v>
      </c>
      <c r="J143" s="1">
        <v>3.384555E-3</v>
      </c>
      <c r="K143" s="1">
        <v>8.7407629999999999E-4</v>
      </c>
    </row>
    <row r="144" spans="1:27" x14ac:dyDescent="0.3">
      <c r="Q144" t="s">
        <v>9</v>
      </c>
    </row>
    <row r="145" spans="1:27" x14ac:dyDescent="0.3">
      <c r="A145" t="s">
        <v>9</v>
      </c>
    </row>
    <row r="147" spans="1:27" x14ac:dyDescent="0.3">
      <c r="R147">
        <v>0</v>
      </c>
    </row>
    <row r="148" spans="1:27" x14ac:dyDescent="0.3">
      <c r="B148">
        <v>0</v>
      </c>
      <c r="Q148" t="s">
        <v>1</v>
      </c>
      <c r="R148" t="s">
        <v>2</v>
      </c>
      <c r="S148" t="s">
        <v>3</v>
      </c>
      <c r="T148" t="s">
        <v>4</v>
      </c>
      <c r="U148" t="s">
        <v>5</v>
      </c>
      <c r="V148" t="s">
        <v>6</v>
      </c>
      <c r="W148" t="s">
        <v>4</v>
      </c>
      <c r="X148" t="s">
        <v>7</v>
      </c>
      <c r="Y148" t="s">
        <v>4</v>
      </c>
      <c r="Z148" t="s">
        <v>8</v>
      </c>
      <c r="AA148" t="s">
        <v>4</v>
      </c>
    </row>
    <row r="149" spans="1:27" x14ac:dyDescent="0.3">
      <c r="A149" t="s">
        <v>1</v>
      </c>
      <c r="B149" t="s">
        <v>2</v>
      </c>
      <c r="C149" t="s">
        <v>3</v>
      </c>
      <c r="D149" t="s">
        <v>4</v>
      </c>
      <c r="E149" t="s">
        <v>5</v>
      </c>
      <c r="F149" t="s">
        <v>6</v>
      </c>
      <c r="G149" t="s">
        <v>4</v>
      </c>
      <c r="H149" t="s">
        <v>7</v>
      </c>
      <c r="I149" t="s">
        <v>4</v>
      </c>
      <c r="J149" t="s">
        <v>8</v>
      </c>
      <c r="K149" t="s">
        <v>4</v>
      </c>
      <c r="Q149" s="1">
        <v>1.9E-2</v>
      </c>
      <c r="R149">
        <v>500</v>
      </c>
      <c r="S149" s="1">
        <v>-5.7962150000000003E-15</v>
      </c>
      <c r="T149" s="1">
        <v>1.5062589999999999E-12</v>
      </c>
      <c r="U149">
        <v>2</v>
      </c>
      <c r="V149" s="1">
        <v>4.0000000000000001E-3</v>
      </c>
      <c r="W149" s="1">
        <v>8.9442720000000003E-2</v>
      </c>
      <c r="X149" s="1">
        <v>1.0237319999999999E-2</v>
      </c>
      <c r="Y149" s="1">
        <v>5.5865090000000004E-4</v>
      </c>
      <c r="Z149" s="1">
        <v>3.451235E-3</v>
      </c>
      <c r="AA149" s="1">
        <v>8.4795520000000002E-4</v>
      </c>
    </row>
    <row r="150" spans="1:27" x14ac:dyDescent="0.3">
      <c r="A150" s="1">
        <v>1.9E-2</v>
      </c>
      <c r="B150">
        <v>500</v>
      </c>
      <c r="C150" s="1">
        <v>5.2862579999999998E-14</v>
      </c>
      <c r="D150" s="1">
        <v>1.3708890000000001E-12</v>
      </c>
      <c r="E150">
        <v>4</v>
      </c>
      <c r="F150" s="1">
        <v>8.0000000000000002E-3</v>
      </c>
      <c r="G150" s="1">
        <v>0.12636430000000001</v>
      </c>
      <c r="H150" s="1">
        <v>1.7356019999999999E-3</v>
      </c>
      <c r="I150" s="1">
        <v>1.931421E-4</v>
      </c>
      <c r="J150" s="1">
        <v>3.4599090000000002E-3</v>
      </c>
      <c r="K150" s="1">
        <v>8.924146E-4</v>
      </c>
    </row>
    <row r="151" spans="1:27" x14ac:dyDescent="0.3">
      <c r="Q151" s="1" t="s">
        <v>9</v>
      </c>
      <c r="S151" s="1"/>
      <c r="T151" s="1"/>
      <c r="V151" s="1"/>
      <c r="W151" s="1"/>
      <c r="X151" s="1"/>
      <c r="Y151" s="1"/>
      <c r="Z151" s="1"/>
      <c r="AA151" s="1"/>
    </row>
    <row r="152" spans="1:27" x14ac:dyDescent="0.3">
      <c r="A152" t="s">
        <v>9</v>
      </c>
    </row>
    <row r="153" spans="1:27" x14ac:dyDescent="0.3">
      <c r="A153" s="1"/>
      <c r="C153" s="1"/>
      <c r="D153" s="1"/>
      <c r="F153" s="1"/>
      <c r="G153" s="1"/>
      <c r="H153" s="1"/>
      <c r="I153" s="1"/>
      <c r="J153" s="1"/>
      <c r="K153" s="1"/>
    </row>
    <row r="154" spans="1:27" x14ac:dyDescent="0.3">
      <c r="R154">
        <v>0</v>
      </c>
    </row>
    <row r="155" spans="1:27" x14ac:dyDescent="0.3">
      <c r="B155">
        <v>0</v>
      </c>
      <c r="Q155" t="s">
        <v>1</v>
      </c>
      <c r="R155" t="s">
        <v>2</v>
      </c>
      <c r="S155" t="s">
        <v>3</v>
      </c>
      <c r="T155" t="s">
        <v>4</v>
      </c>
      <c r="U155" t="s">
        <v>5</v>
      </c>
      <c r="V155" t="s">
        <v>6</v>
      </c>
      <c r="W155" t="s">
        <v>4</v>
      </c>
      <c r="X155" t="s">
        <v>7</v>
      </c>
      <c r="Y155" t="s">
        <v>4</v>
      </c>
      <c r="Z155" t="s">
        <v>8</v>
      </c>
      <c r="AA155" t="s">
        <v>4</v>
      </c>
    </row>
    <row r="156" spans="1:27" x14ac:dyDescent="0.3">
      <c r="A156" t="s">
        <v>1</v>
      </c>
      <c r="B156" t="s">
        <v>2</v>
      </c>
      <c r="C156" t="s">
        <v>3</v>
      </c>
      <c r="D156" t="s">
        <v>4</v>
      </c>
      <c r="E156" t="s">
        <v>5</v>
      </c>
      <c r="F156" t="s">
        <v>6</v>
      </c>
      <c r="G156" t="s">
        <v>4</v>
      </c>
      <c r="H156" t="s">
        <v>7</v>
      </c>
      <c r="I156" t="s">
        <v>4</v>
      </c>
      <c r="J156" t="s">
        <v>8</v>
      </c>
      <c r="K156" t="s">
        <v>4</v>
      </c>
      <c r="Q156" s="1">
        <v>1.9E-2</v>
      </c>
      <c r="R156">
        <v>500</v>
      </c>
      <c r="S156" s="1">
        <v>1.3279390000000001E-13</v>
      </c>
      <c r="T156" s="1">
        <v>1.696107E-12</v>
      </c>
      <c r="U156">
        <v>3</v>
      </c>
      <c r="V156" s="1">
        <v>6.0000000000000001E-3</v>
      </c>
      <c r="W156" s="1">
        <v>7.7304280000000003E-2</v>
      </c>
      <c r="X156" s="1">
        <v>1.028008E-2</v>
      </c>
      <c r="Y156" s="1">
        <v>5.7316870000000001E-4</v>
      </c>
      <c r="Z156" s="1">
        <v>3.484305E-3</v>
      </c>
      <c r="AA156" s="1">
        <v>8.3935919999999998E-4</v>
      </c>
    </row>
    <row r="157" spans="1:27" x14ac:dyDescent="0.3">
      <c r="A157" s="1">
        <v>1.9E-2</v>
      </c>
      <c r="B157">
        <v>500</v>
      </c>
      <c r="C157" s="1">
        <v>-1.1026899999999999E-14</v>
      </c>
      <c r="D157" s="1">
        <v>9.7480999999999996E-13</v>
      </c>
      <c r="E157">
        <v>0</v>
      </c>
      <c r="F157" s="1">
        <v>0</v>
      </c>
      <c r="G157" s="1">
        <v>0</v>
      </c>
      <c r="H157" s="1">
        <v>1.7356019999999999E-3</v>
      </c>
      <c r="I157" s="1">
        <v>1.7554039999999999E-4</v>
      </c>
      <c r="J157" s="1">
        <v>3.3905179999999999E-3</v>
      </c>
      <c r="K157" s="1">
        <v>8.8606429999999999E-4</v>
      </c>
    </row>
    <row r="158" spans="1:27" x14ac:dyDescent="0.3">
      <c r="Q158" s="1" t="s">
        <v>9</v>
      </c>
      <c r="S158" s="1"/>
      <c r="T158" s="1"/>
      <c r="V158" s="1"/>
      <c r="W158" s="1"/>
      <c r="X158" s="1"/>
      <c r="Y158" s="1"/>
      <c r="Z158" s="1"/>
      <c r="AA158" s="1"/>
    </row>
    <row r="159" spans="1:27" x14ac:dyDescent="0.3">
      <c r="A159" t="s">
        <v>9</v>
      </c>
    </row>
    <row r="160" spans="1:27" x14ac:dyDescent="0.3">
      <c r="A160" s="1"/>
      <c r="C160" s="1"/>
      <c r="D160" s="1"/>
      <c r="F160" s="1"/>
      <c r="G160" s="1"/>
      <c r="H160" s="1"/>
      <c r="I160" s="1"/>
      <c r="J160" s="1"/>
      <c r="K160" s="1"/>
    </row>
    <row r="161" spans="1:27" x14ac:dyDescent="0.3">
      <c r="R161">
        <v>0</v>
      </c>
    </row>
    <row r="162" spans="1:27" x14ac:dyDescent="0.3">
      <c r="B162">
        <v>0</v>
      </c>
      <c r="Q162" t="s">
        <v>1</v>
      </c>
      <c r="R162" t="s">
        <v>2</v>
      </c>
      <c r="S162" t="s">
        <v>3</v>
      </c>
      <c r="T162" t="s">
        <v>4</v>
      </c>
      <c r="U162" t="s">
        <v>5</v>
      </c>
      <c r="V162" t="s">
        <v>6</v>
      </c>
      <c r="W162" t="s">
        <v>4</v>
      </c>
      <c r="X162" t="s">
        <v>7</v>
      </c>
      <c r="Y162" t="s">
        <v>4</v>
      </c>
      <c r="Z162" t="s">
        <v>8</v>
      </c>
      <c r="AA162" t="s">
        <v>4</v>
      </c>
    </row>
    <row r="163" spans="1:27" x14ac:dyDescent="0.3">
      <c r="A163" t="s">
        <v>1</v>
      </c>
      <c r="B163" t="s">
        <v>2</v>
      </c>
      <c r="C163" t="s">
        <v>3</v>
      </c>
      <c r="D163" t="s">
        <v>4</v>
      </c>
      <c r="E163" t="s">
        <v>5</v>
      </c>
      <c r="F163" t="s">
        <v>6</v>
      </c>
      <c r="G163" t="s">
        <v>4</v>
      </c>
      <c r="H163" t="s">
        <v>7</v>
      </c>
      <c r="I163" t="s">
        <v>4</v>
      </c>
      <c r="J163" t="s">
        <v>8</v>
      </c>
      <c r="K163" t="s">
        <v>4</v>
      </c>
      <c r="Q163" s="1">
        <v>1.9E-2</v>
      </c>
      <c r="R163">
        <v>500</v>
      </c>
      <c r="S163" s="1">
        <v>6.1225690000000001E-14</v>
      </c>
      <c r="T163" s="1">
        <v>1.643838E-12</v>
      </c>
      <c r="U163">
        <v>2</v>
      </c>
      <c r="V163" s="1">
        <v>4.0000000000000001E-3</v>
      </c>
      <c r="W163" s="1">
        <v>6.3182150000000006E-2</v>
      </c>
      <c r="X163" s="1">
        <v>1.039171E-2</v>
      </c>
      <c r="Y163" s="1">
        <v>5.3990060000000005E-4</v>
      </c>
      <c r="Z163" s="1">
        <v>3.46533E-3</v>
      </c>
      <c r="AA163" s="1">
        <v>8.0852660000000005E-4</v>
      </c>
    </row>
    <row r="164" spans="1:27" x14ac:dyDescent="0.3">
      <c r="A164" s="1">
        <v>1.9E-2</v>
      </c>
      <c r="B164">
        <v>500</v>
      </c>
      <c r="C164" s="1">
        <v>-1.455828E-13</v>
      </c>
      <c r="D164" s="1">
        <v>1.2589120000000001E-12</v>
      </c>
      <c r="E164">
        <v>5</v>
      </c>
      <c r="F164" s="1">
        <v>0.01</v>
      </c>
      <c r="G164" s="1">
        <v>0.13392490000000001</v>
      </c>
      <c r="H164" s="1">
        <v>1.8044650000000001E-3</v>
      </c>
      <c r="I164" s="1">
        <v>2.0680279999999999E-4</v>
      </c>
      <c r="J164" s="1">
        <v>4.1212949999999996E-3</v>
      </c>
      <c r="K164" s="1">
        <v>8.8294670000000003E-4</v>
      </c>
    </row>
    <row r="165" spans="1:27" x14ac:dyDescent="0.3">
      <c r="Q165" s="1" t="s">
        <v>9</v>
      </c>
      <c r="S165" s="1"/>
      <c r="T165" s="1"/>
      <c r="V165" s="1"/>
      <c r="W165" s="1"/>
      <c r="X165" s="1"/>
      <c r="Y165" s="1"/>
      <c r="Z165" s="1"/>
      <c r="AA165" s="1"/>
    </row>
    <row r="166" spans="1:27" x14ac:dyDescent="0.3">
      <c r="A166" t="s">
        <v>9</v>
      </c>
    </row>
    <row r="167" spans="1:27" x14ac:dyDescent="0.3">
      <c r="A167" s="1"/>
      <c r="C167" s="1"/>
      <c r="D167" s="1"/>
      <c r="F167" s="1"/>
      <c r="G167" s="1"/>
      <c r="H167" s="1"/>
      <c r="I167" s="1"/>
      <c r="J167" s="1"/>
      <c r="K167" s="1"/>
    </row>
    <row r="168" spans="1:27" x14ac:dyDescent="0.3">
      <c r="Q168" t="s">
        <v>9</v>
      </c>
    </row>
    <row r="169" spans="1:27" x14ac:dyDescent="0.3">
      <c r="B169">
        <v>0</v>
      </c>
    </row>
    <row r="170" spans="1:27" x14ac:dyDescent="0.3">
      <c r="A170" t="s">
        <v>1</v>
      </c>
      <c r="B170" t="s">
        <v>2</v>
      </c>
      <c r="C170" t="s">
        <v>3</v>
      </c>
      <c r="D170" t="s">
        <v>4</v>
      </c>
      <c r="E170" t="s">
        <v>5</v>
      </c>
      <c r="F170" t="s">
        <v>6</v>
      </c>
      <c r="G170" t="s">
        <v>4</v>
      </c>
      <c r="H170" t="s">
        <v>7</v>
      </c>
      <c r="I170" t="s">
        <v>4</v>
      </c>
      <c r="J170" t="s">
        <v>8</v>
      </c>
      <c r="K170" t="s">
        <v>4</v>
      </c>
    </row>
    <row r="171" spans="1:27" x14ac:dyDescent="0.3">
      <c r="A171" s="1">
        <v>1.9E-2</v>
      </c>
      <c r="B171">
        <v>500</v>
      </c>
      <c r="C171" s="1">
        <v>-4.1021170000000002E-14</v>
      </c>
      <c r="D171" s="1">
        <v>1.3928490000000001E-12</v>
      </c>
      <c r="E171">
        <v>2</v>
      </c>
      <c r="F171" s="1">
        <v>4.0000000000000001E-3</v>
      </c>
      <c r="G171" s="1">
        <v>0.23218920000000001</v>
      </c>
      <c r="H171" s="1">
        <v>1.7744760000000001E-3</v>
      </c>
      <c r="I171" s="1">
        <v>1.8678149999999999E-4</v>
      </c>
      <c r="J171" s="1">
        <v>4.031303E-3</v>
      </c>
      <c r="K171" s="1">
        <v>8.4904149999999999E-4</v>
      </c>
      <c r="R171">
        <v>0</v>
      </c>
    </row>
    <row r="172" spans="1:27" x14ac:dyDescent="0.3">
      <c r="Q172" s="1" t="s">
        <v>1</v>
      </c>
      <c r="R172" t="s">
        <v>2</v>
      </c>
      <c r="S172" s="1" t="s">
        <v>3</v>
      </c>
      <c r="T172" s="1" t="s">
        <v>4</v>
      </c>
      <c r="U172" t="s">
        <v>5</v>
      </c>
      <c r="V172" s="1" t="s">
        <v>6</v>
      </c>
      <c r="W172" s="1" t="s">
        <v>4</v>
      </c>
      <c r="X172" s="1" t="s">
        <v>7</v>
      </c>
      <c r="Y172" s="1" t="s">
        <v>4</v>
      </c>
      <c r="Z172" s="1" t="s">
        <v>8</v>
      </c>
      <c r="AA172" s="1" t="s">
        <v>4</v>
      </c>
    </row>
    <row r="173" spans="1:27" x14ac:dyDescent="0.3">
      <c r="A173" t="s">
        <v>9</v>
      </c>
      <c r="Q173" s="1">
        <v>1.9E-2</v>
      </c>
      <c r="R173">
        <v>500</v>
      </c>
      <c r="S173" s="1">
        <v>-3.4848909999999999E-14</v>
      </c>
      <c r="T173" s="1">
        <v>1.37556E-12</v>
      </c>
      <c r="U173">
        <v>10</v>
      </c>
      <c r="V173" s="1">
        <v>0.02</v>
      </c>
      <c r="W173" s="1">
        <v>0.2273838</v>
      </c>
      <c r="X173" s="1">
        <v>1.088429E-2</v>
      </c>
      <c r="Y173" s="1">
        <v>5.8263140000000004E-4</v>
      </c>
      <c r="Z173" s="1">
        <v>4.1017789999999998E-3</v>
      </c>
      <c r="AA173" s="1">
        <v>9.040284E-4</v>
      </c>
    </row>
    <row r="174" spans="1:27" x14ac:dyDescent="0.3">
      <c r="A174" s="1"/>
      <c r="C174" s="1"/>
      <c r="D174" s="1"/>
      <c r="F174" s="1"/>
      <c r="G174" s="1"/>
      <c r="H174" s="1"/>
      <c r="I174" s="1"/>
      <c r="J174" s="1"/>
      <c r="K174" s="1"/>
    </row>
    <row r="175" spans="1:27" x14ac:dyDescent="0.3">
      <c r="Q175" t="s">
        <v>9</v>
      </c>
    </row>
    <row r="176" spans="1:27" x14ac:dyDescent="0.3">
      <c r="B176">
        <v>0</v>
      </c>
    </row>
    <row r="177" spans="1:27" x14ac:dyDescent="0.3">
      <c r="A177" t="s">
        <v>1</v>
      </c>
      <c r="B177" t="s">
        <v>2</v>
      </c>
      <c r="C177" t="s">
        <v>3</v>
      </c>
      <c r="D177" t="s">
        <v>4</v>
      </c>
      <c r="E177" t="s">
        <v>5</v>
      </c>
      <c r="F177" t="s">
        <v>6</v>
      </c>
      <c r="G177" t="s">
        <v>4</v>
      </c>
      <c r="H177" t="s">
        <v>7</v>
      </c>
      <c r="I177" t="s">
        <v>4</v>
      </c>
      <c r="J177" t="s">
        <v>8</v>
      </c>
      <c r="K177" t="s">
        <v>4</v>
      </c>
    </row>
    <row r="178" spans="1:27" x14ac:dyDescent="0.3">
      <c r="A178" s="1">
        <v>1.9E-2</v>
      </c>
      <c r="B178">
        <v>500</v>
      </c>
      <c r="C178" s="1">
        <v>-2.74433E-14</v>
      </c>
      <c r="D178" s="1">
        <v>1.406985E-12</v>
      </c>
      <c r="E178">
        <v>5</v>
      </c>
      <c r="F178" s="1">
        <v>0.01</v>
      </c>
      <c r="G178" s="1">
        <v>0.14813470000000001</v>
      </c>
      <c r="H178" s="1">
        <v>1.798911E-3</v>
      </c>
      <c r="I178" s="1">
        <v>1.9283789999999999E-4</v>
      </c>
      <c r="J178" s="1">
        <v>4.1440640000000003E-3</v>
      </c>
      <c r="K178" s="1">
        <v>8.4080220000000005E-4</v>
      </c>
      <c r="R178">
        <v>0</v>
      </c>
    </row>
    <row r="179" spans="1:27" x14ac:dyDescent="0.3">
      <c r="Q179" t="s">
        <v>1</v>
      </c>
      <c r="R179" t="s">
        <v>2</v>
      </c>
      <c r="S179" t="s">
        <v>3</v>
      </c>
      <c r="T179" t="s">
        <v>4</v>
      </c>
      <c r="U179" t="s">
        <v>5</v>
      </c>
      <c r="V179" t="s">
        <v>6</v>
      </c>
      <c r="W179" t="s">
        <v>4</v>
      </c>
      <c r="X179" t="s">
        <v>7</v>
      </c>
      <c r="Y179" t="s">
        <v>4</v>
      </c>
      <c r="Z179" t="s">
        <v>8</v>
      </c>
      <c r="AA179" t="s">
        <v>4</v>
      </c>
    </row>
    <row r="180" spans="1:27" x14ac:dyDescent="0.3">
      <c r="Q180" s="1">
        <v>1.9E-2</v>
      </c>
      <c r="R180">
        <v>500</v>
      </c>
      <c r="S180" s="1">
        <v>2.1116540000000001E-14</v>
      </c>
      <c r="T180" s="1">
        <v>1.5802700000000001E-12</v>
      </c>
      <c r="U180">
        <v>8</v>
      </c>
      <c r="V180" s="1">
        <v>1.6E-2</v>
      </c>
      <c r="W180" s="1">
        <v>0.1995586</v>
      </c>
      <c r="X180" s="1">
        <v>1.0819870000000001E-2</v>
      </c>
      <c r="Y180" s="1">
        <v>6.0679549999999999E-4</v>
      </c>
      <c r="Z180" s="1">
        <v>4.2568249999999997E-3</v>
      </c>
      <c r="AA180" s="1">
        <v>8.6958809999999995E-4</v>
      </c>
    </row>
    <row r="182" spans="1:27" x14ac:dyDescent="0.3">
      <c r="Q182" t="s">
        <v>9</v>
      </c>
    </row>
    <row r="184" spans="1:27" x14ac:dyDescent="0.3">
      <c r="A184" s="1"/>
      <c r="C184" s="1"/>
      <c r="D184" s="1"/>
      <c r="F184" s="1"/>
      <c r="G184" s="1"/>
      <c r="H184" s="1"/>
      <c r="I184" s="1"/>
      <c r="J184" s="1"/>
      <c r="K184" s="1"/>
    </row>
    <row r="185" spans="1:27" x14ac:dyDescent="0.3">
      <c r="R185">
        <v>0</v>
      </c>
    </row>
    <row r="186" spans="1:27" x14ac:dyDescent="0.3">
      <c r="Q186" t="s">
        <v>1</v>
      </c>
      <c r="R186" t="s">
        <v>2</v>
      </c>
      <c r="S186" t="s">
        <v>3</v>
      </c>
      <c r="T186" t="s">
        <v>4</v>
      </c>
      <c r="U186" t="s">
        <v>5</v>
      </c>
      <c r="V186" t="s">
        <v>6</v>
      </c>
      <c r="W186" t="s">
        <v>4</v>
      </c>
      <c r="X186" t="s">
        <v>7</v>
      </c>
      <c r="Y186" t="s">
        <v>4</v>
      </c>
      <c r="Z186" t="s">
        <v>8</v>
      </c>
      <c r="AA186" t="s">
        <v>4</v>
      </c>
    </row>
    <row r="187" spans="1:27" x14ac:dyDescent="0.3">
      <c r="Q187" s="1">
        <v>1.9E-2</v>
      </c>
      <c r="R187">
        <v>500</v>
      </c>
      <c r="S187" s="1">
        <v>-5.4299390000000002E-14</v>
      </c>
      <c r="T187" s="1">
        <v>1.291602E-12</v>
      </c>
      <c r="U187">
        <v>3</v>
      </c>
      <c r="V187" s="1">
        <v>6.0000000000000001E-3</v>
      </c>
      <c r="W187" s="1">
        <v>0.13416410000000001</v>
      </c>
      <c r="X187" s="1">
        <v>1.0697140000000001E-2</v>
      </c>
      <c r="Y187" s="1">
        <v>5.7964799999999999E-4</v>
      </c>
      <c r="Z187" s="1">
        <v>4.2329719999999998E-3</v>
      </c>
      <c r="AA187" s="1">
        <v>9.0778820000000004E-4</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M187"/>
  <sheetViews>
    <sheetView workbookViewId="0">
      <selection activeCell="AJ11" sqref="AJ11"/>
    </sheetView>
  </sheetViews>
  <sheetFormatPr defaultRowHeight="14.4" x14ac:dyDescent="0.3"/>
  <cols>
    <col min="2" max="2" width="20.21875" bestFit="1" customWidth="1"/>
    <col min="3" max="3" width="18.6640625" bestFit="1" customWidth="1"/>
    <col min="4" max="4" width="16.5546875" bestFit="1" customWidth="1"/>
    <col min="5" max="5" width="20" bestFit="1" customWidth="1"/>
    <col min="6" max="6" width="22.44140625" bestFit="1" customWidth="1"/>
    <col min="7" max="7" width="16.5546875" bestFit="1" customWidth="1"/>
    <col min="8" max="8" width="31.77734375" bestFit="1" customWidth="1"/>
    <col min="9" max="9" width="16.5546875" bestFit="1" customWidth="1"/>
    <col min="10" max="10" width="26.5546875" bestFit="1" customWidth="1"/>
    <col min="11" max="11" width="16.5546875" bestFit="1" customWidth="1"/>
    <col min="18" max="18" width="20.21875" bestFit="1" customWidth="1"/>
    <col min="19" max="19" width="18.6640625" bestFit="1" customWidth="1"/>
    <col min="20" max="20" width="16.5546875" bestFit="1" customWidth="1"/>
    <col min="21" max="21" width="20" bestFit="1" customWidth="1"/>
    <col min="22" max="22" width="22.44140625" bestFit="1" customWidth="1"/>
    <col min="23" max="23" width="16.5546875" bestFit="1" customWidth="1"/>
    <col min="24" max="24" width="31.77734375" bestFit="1" customWidth="1"/>
    <col min="25" max="25" width="16.5546875" bestFit="1" customWidth="1"/>
    <col min="26" max="26" width="26.5546875" bestFit="1" customWidth="1"/>
    <col min="27" max="27" width="16.5546875" bestFit="1" customWidth="1"/>
    <col min="30" max="30" width="31.21875" bestFit="1" customWidth="1"/>
    <col min="31" max="31" width="20.21875" bestFit="1" customWidth="1"/>
    <col min="32" max="32" width="20" bestFit="1" customWidth="1"/>
    <col min="33" max="33" width="23.44140625" bestFit="1" customWidth="1"/>
    <col min="34" max="34" width="20.6640625" bestFit="1" customWidth="1"/>
    <col min="35" max="35" width="14.6640625" bestFit="1" customWidth="1"/>
    <col min="36" max="36" width="18.6640625" bestFit="1" customWidth="1"/>
    <col min="37" max="37" width="11.5546875" bestFit="1" customWidth="1"/>
    <col min="38" max="38" width="26.5546875" bestFit="1" customWidth="1"/>
    <col min="39" max="39" width="16.5546875" bestFit="1" customWidth="1"/>
  </cols>
  <sheetData>
    <row r="4" spans="1:39" ht="25.8" x14ac:dyDescent="0.5">
      <c r="A4" s="4" t="s">
        <v>11</v>
      </c>
      <c r="Q4" s="4" t="s">
        <v>12</v>
      </c>
      <c r="AD4" s="3" t="s">
        <v>13</v>
      </c>
    </row>
    <row r="7" spans="1:39" ht="18" x14ac:dyDescent="0.35">
      <c r="A7" t="s">
        <v>1</v>
      </c>
      <c r="B7" t="s">
        <v>2</v>
      </c>
      <c r="C7" t="s">
        <v>3</v>
      </c>
      <c r="D7" t="s">
        <v>4</v>
      </c>
      <c r="E7" t="s">
        <v>5</v>
      </c>
      <c r="F7" t="s">
        <v>6</v>
      </c>
      <c r="G7" t="s">
        <v>14</v>
      </c>
      <c r="H7" t="s">
        <v>7</v>
      </c>
      <c r="I7" t="s">
        <v>4</v>
      </c>
      <c r="J7" t="s">
        <v>8</v>
      </c>
      <c r="K7" t="s">
        <v>4</v>
      </c>
      <c r="Q7" t="s">
        <v>1</v>
      </c>
      <c r="R7" t="s">
        <v>2</v>
      </c>
      <c r="S7" t="s">
        <v>3</v>
      </c>
      <c r="T7" t="s">
        <v>4</v>
      </c>
      <c r="U7" t="s">
        <v>5</v>
      </c>
      <c r="V7" t="s">
        <v>6</v>
      </c>
      <c r="W7" t="s">
        <v>14</v>
      </c>
      <c r="X7" t="s">
        <v>7</v>
      </c>
      <c r="Y7" t="s">
        <v>4</v>
      </c>
      <c r="Z7" t="s">
        <v>8</v>
      </c>
      <c r="AA7" t="s">
        <v>4</v>
      </c>
      <c r="AD7" t="s">
        <v>1</v>
      </c>
      <c r="AE7" t="s">
        <v>2</v>
      </c>
      <c r="AF7" t="s">
        <v>5</v>
      </c>
      <c r="AG7" s="6" t="s">
        <v>6</v>
      </c>
      <c r="AH7" s="6" t="s">
        <v>15</v>
      </c>
      <c r="AI7" s="2" t="s">
        <v>16</v>
      </c>
      <c r="AJ7" s="2" t="s">
        <v>58</v>
      </c>
      <c r="AK7" s="2" t="s">
        <v>17</v>
      </c>
      <c r="AL7" t="s">
        <v>8</v>
      </c>
      <c r="AM7" t="s">
        <v>4</v>
      </c>
    </row>
    <row r="8" spans="1:39" ht="18" x14ac:dyDescent="0.35">
      <c r="A8" s="1">
        <f>A19</f>
        <v>2.7E-2</v>
      </c>
      <c r="B8">
        <f>B19+B26+B33+B40+B47+B54+B61+B68</f>
        <v>8000</v>
      </c>
      <c r="C8" s="1">
        <f>SUM(C19+C26+C33+C40+C47+C54+C61+C68)/8</f>
        <v>9.4451980000000019E-13</v>
      </c>
      <c r="D8" s="1">
        <f>SUM(D19+D26+D33+D40+D47+D54+D61+D68)/8</f>
        <v>5.5941332499999992E-12</v>
      </c>
      <c r="E8">
        <f>E19+E26+E33+E40+E47+E54+E61+E68</f>
        <v>425</v>
      </c>
      <c r="F8" s="1">
        <f>E8/B8</f>
        <v>5.3124999999999999E-2</v>
      </c>
      <c r="G8" s="1">
        <f>SQRT(E8)</f>
        <v>20.615528128088304</v>
      </c>
      <c r="H8" s="1">
        <f>SUM(H19+H26+H33+H40+H47+H54+H61+H68)/8</f>
        <v>1.7744067499999999E-3</v>
      </c>
      <c r="I8" s="1">
        <f>SUM(I19+I26+I33+I40+I47+I54+I61+I68)/8</f>
        <v>2.129334625E-4</v>
      </c>
      <c r="J8" s="1">
        <f>SUM(J19+J26+J33+J40+J47+J54+J61+J68)/8</f>
        <v>6.821627624999999E-3</v>
      </c>
      <c r="K8" s="1">
        <f>SUM(K19+K26+K33+K40+K47+K54+K61+K68)/8</f>
        <v>1.1840138875000002E-3</v>
      </c>
      <c r="Q8" s="1">
        <f>Q19</f>
        <v>2.7E-2</v>
      </c>
      <c r="R8">
        <f>R19+R26+R33+R40+R47+R54+R61+R68</f>
        <v>8000</v>
      </c>
      <c r="S8" s="1">
        <f>SUM(S19+S26+S33+S40+S47+S54+S61+S68)/8</f>
        <v>1.098020325E-12</v>
      </c>
      <c r="T8" s="1">
        <f>SUM(T19+T26+T33+T40+T47+T54+T61+T68)/8</f>
        <v>6.0741178749999996E-12</v>
      </c>
      <c r="U8">
        <f>U19+U26+U33+U40+U47+U54+U61+U68</f>
        <v>493</v>
      </c>
      <c r="V8" s="1">
        <f>U8/R8</f>
        <v>6.1624999999999999E-2</v>
      </c>
      <c r="W8" s="1">
        <f>SQRT(U8)</f>
        <v>22.203603311174518</v>
      </c>
      <c r="X8" s="1">
        <f>SUM(X19+X26+X33+X40+X47+X54+X61+X68)/8</f>
        <v>9.047571124999999E-3</v>
      </c>
      <c r="Y8" s="1">
        <f>SUM(Y19+Y26+Y33+Y40+Y47+Y54+Y61+Y68)/8</f>
        <v>5.1810300000000001E-4</v>
      </c>
      <c r="Z8" s="1">
        <f>SUM(Z19+Z26+Z33+Z40+Z47+Z54+Z61+Z68)/8</f>
        <v>7.0287849999999992E-3</v>
      </c>
      <c r="AA8" s="1">
        <f>SUM(AA19+AA26+AA33+AA40+AA47+AA54+AA61+AA68)/8</f>
        <v>1.0520218E-3</v>
      </c>
      <c r="AD8" s="1">
        <f>Q8</f>
        <v>2.7E-2</v>
      </c>
      <c r="AE8">
        <f>R8</f>
        <v>8000</v>
      </c>
      <c r="AF8" s="5">
        <f>U8-E8</f>
        <v>68</v>
      </c>
      <c r="AG8" s="7">
        <f>AF8/AE8</f>
        <v>8.5000000000000006E-3</v>
      </c>
      <c r="AH8" s="7">
        <f>SQRT((1/SQRT(AF8))^2+((SQRT(E8))/(AF8))^2)</f>
        <v>0.32652357810550764</v>
      </c>
      <c r="AI8" s="8">
        <f>AG8</f>
        <v>8.5000000000000006E-3</v>
      </c>
      <c r="AJ8" s="8">
        <f>AI8*278000</f>
        <v>2363</v>
      </c>
      <c r="AK8" s="8">
        <f>AJ8*AH8</f>
        <v>771.57521506331454</v>
      </c>
      <c r="AL8" s="1">
        <f>(Z8+J8)/2</f>
        <v>6.9252063124999996E-3</v>
      </c>
      <c r="AM8" s="1">
        <f>(AA8+K8)/2</f>
        <v>1.1180178437500002E-3</v>
      </c>
    </row>
    <row r="9" spans="1:39" ht="18" x14ac:dyDescent="0.35">
      <c r="A9" s="1">
        <f>A75</f>
        <v>6.4000000000000001E-2</v>
      </c>
      <c r="B9">
        <f>B75+B84+B91+B98+B105+B112</f>
        <v>6000</v>
      </c>
      <c r="C9" s="1">
        <f>SUM(C75+C84+C91+C98+C105+C112)/6</f>
        <v>3.3248293333333327E-13</v>
      </c>
      <c r="D9" s="1">
        <f>SUM(D75+D84+D91+D98+D105+D112)/6</f>
        <v>3.6256689999999993E-12</v>
      </c>
      <c r="E9">
        <f>E75+E84+E91+E98+E105+E112</f>
        <v>101</v>
      </c>
      <c r="F9" s="1">
        <f>E9/B9</f>
        <v>1.6833333333333332E-2</v>
      </c>
      <c r="G9" s="1">
        <f>SQRT(E9)</f>
        <v>10.04987562112089</v>
      </c>
      <c r="H9" s="1">
        <f>SUM(H75+H84+H91+H98+H105+H112)/6</f>
        <v>1.7876654999999999E-3</v>
      </c>
      <c r="I9" s="1">
        <f>SUM(I75+I84+I91+I98+I105+I112)/6</f>
        <v>2.1505801666666668E-4</v>
      </c>
      <c r="J9" s="1">
        <f>SUM(J75+J84+J91+J98+J105+J112)/6</f>
        <v>7.0467993333333334E-3</v>
      </c>
      <c r="K9" s="1">
        <f>SUM(K75+K84+K91+K98+K105+K112)/6</f>
        <v>1.1006890000000002E-3</v>
      </c>
      <c r="Q9" s="1">
        <f>Q75</f>
        <v>6.4000000000000001E-2</v>
      </c>
      <c r="R9">
        <f>R113+R106+R99+R92+R82+R75</f>
        <v>6000</v>
      </c>
      <c r="S9" s="1">
        <f>SUM(S113+S106+S99+S92+S82+S75)/6</f>
        <v>3.7051399999999994E-13</v>
      </c>
      <c r="T9" s="1">
        <f>SUM(T113+T106+T99+T92+T82+T75)/6</f>
        <v>3.7213410000000006E-12</v>
      </c>
      <c r="U9">
        <f>U113+U106+U99+U92+U82+U75</f>
        <v>123</v>
      </c>
      <c r="V9" s="1">
        <f>U9/R9</f>
        <v>2.0500000000000001E-2</v>
      </c>
      <c r="W9" s="1">
        <f>SQRT(U9)</f>
        <v>11.090536506409418</v>
      </c>
      <c r="X9" s="1">
        <f>SUM(X113+X106+X99+X92+X82+X75)/6</f>
        <v>8.8591023333333321E-3</v>
      </c>
      <c r="Y9" s="1">
        <f>SUM(Y113+Y106+Y99+Y92+Y82+Y75)/6</f>
        <v>5.4304069999999997E-4</v>
      </c>
      <c r="Z9" s="1">
        <f>SUM(Z113+Z106+Z99+Z92+Z82+Z75)/6</f>
        <v>7.1382366666666681E-3</v>
      </c>
      <c r="AA9" s="1">
        <f>SUM(AA113+AA106+AA99+AA92+AA82+AA75)/6</f>
        <v>1.0827463333333333E-3</v>
      </c>
      <c r="AD9" s="1">
        <f>Q9</f>
        <v>6.4000000000000001E-2</v>
      </c>
      <c r="AE9">
        <f>R9</f>
        <v>6000</v>
      </c>
      <c r="AF9" s="5">
        <f>U9-E9</f>
        <v>22</v>
      </c>
      <c r="AG9" s="7">
        <f>AF9/AE9</f>
        <v>3.6666666666666666E-3</v>
      </c>
      <c r="AH9" s="7">
        <f>SQRT((1/SQRT(AF9))^2+((SQRT(E9))/(AF9))^2)</f>
        <v>0.50411529574588254</v>
      </c>
      <c r="AI9" s="8">
        <f t="shared" ref="AI9" si="0">AG9</f>
        <v>3.6666666666666666E-3</v>
      </c>
      <c r="AJ9" s="8">
        <f>AI9*278000</f>
        <v>1019.3333333333333</v>
      </c>
      <c r="AK9" s="8">
        <f t="shared" ref="AK9" si="1">AJ9*AH9</f>
        <v>513.86152479696955</v>
      </c>
      <c r="AL9" s="1">
        <f t="shared" ref="AL9:AM9" si="2">(Z9+J9)/2</f>
        <v>7.0925180000000008E-3</v>
      </c>
      <c r="AM9" s="1">
        <f t="shared" si="2"/>
        <v>1.0917176666666666E-3</v>
      </c>
    </row>
    <row r="10" spans="1:39" ht="18" x14ac:dyDescent="0.35">
      <c r="A10" s="1"/>
      <c r="C10" s="1"/>
      <c r="D10" s="1"/>
      <c r="F10" s="1"/>
      <c r="G10" s="1"/>
      <c r="H10" s="1"/>
      <c r="I10" s="1"/>
      <c r="J10" s="1"/>
      <c r="K10" s="1"/>
      <c r="Q10" s="1"/>
      <c r="S10" s="1"/>
      <c r="T10" s="1"/>
      <c r="V10" s="1"/>
      <c r="W10" s="1"/>
      <c r="X10" s="1"/>
      <c r="Y10" s="1"/>
      <c r="Z10" s="1"/>
      <c r="AA10" s="1"/>
      <c r="AD10" s="1"/>
      <c r="AF10" s="5"/>
      <c r="AG10" s="7"/>
      <c r="AH10" s="7"/>
      <c r="AI10" s="8"/>
      <c r="AJ10" s="8"/>
      <c r="AK10" s="8"/>
      <c r="AL10" s="1"/>
      <c r="AM10" s="1"/>
    </row>
    <row r="13" spans="1:39" x14ac:dyDescent="0.3">
      <c r="A13" t="s">
        <v>0</v>
      </c>
      <c r="Q13" t="s">
        <v>10</v>
      </c>
    </row>
    <row r="14" spans="1:39" x14ac:dyDescent="0.3">
      <c r="A14" t="s">
        <v>62</v>
      </c>
      <c r="Q14" t="s">
        <v>62</v>
      </c>
    </row>
    <row r="17" spans="1:27" x14ac:dyDescent="0.3">
      <c r="B17">
        <v>0</v>
      </c>
      <c r="R17">
        <v>0</v>
      </c>
    </row>
    <row r="18" spans="1:27" x14ac:dyDescent="0.3">
      <c r="A18" t="s">
        <v>1</v>
      </c>
      <c r="B18" t="s">
        <v>2</v>
      </c>
      <c r="C18" t="s">
        <v>3</v>
      </c>
      <c r="D18" t="s">
        <v>4</v>
      </c>
      <c r="E18" t="s">
        <v>5</v>
      </c>
      <c r="F18" t="s">
        <v>6</v>
      </c>
      <c r="G18" t="s">
        <v>4</v>
      </c>
      <c r="H18" t="s">
        <v>7</v>
      </c>
      <c r="I18" t="s">
        <v>4</v>
      </c>
      <c r="J18" t="s">
        <v>8</v>
      </c>
      <c r="K18" t="s">
        <v>4</v>
      </c>
      <c r="Q18" t="s">
        <v>1</v>
      </c>
      <c r="R18" t="s">
        <v>2</v>
      </c>
      <c r="S18" t="s">
        <v>3</v>
      </c>
      <c r="T18" t="s">
        <v>4</v>
      </c>
      <c r="U18" t="s">
        <v>5</v>
      </c>
      <c r="V18" t="s">
        <v>6</v>
      </c>
      <c r="W18" t="s">
        <v>4</v>
      </c>
      <c r="X18" t="s">
        <v>7</v>
      </c>
      <c r="Y18" t="s">
        <v>4</v>
      </c>
      <c r="Z18" t="s">
        <v>8</v>
      </c>
      <c r="AA18" t="s">
        <v>4</v>
      </c>
    </row>
    <row r="19" spans="1:27" x14ac:dyDescent="0.3">
      <c r="A19" s="1">
        <v>2.7E-2</v>
      </c>
      <c r="B19">
        <v>1000</v>
      </c>
      <c r="C19" s="1">
        <v>1.700404E-12</v>
      </c>
      <c r="D19" s="1">
        <v>7.4342779999999998E-12</v>
      </c>
      <c r="E19">
        <v>90</v>
      </c>
      <c r="F19" s="1">
        <v>0.09</v>
      </c>
      <c r="G19" s="1">
        <v>0.35781000000000002</v>
      </c>
      <c r="H19" s="1">
        <v>1.7414329999999999E-3</v>
      </c>
      <c r="I19" s="1">
        <v>1.912797E-4</v>
      </c>
      <c r="J19" s="1">
        <v>6.5646289999999998E-3</v>
      </c>
      <c r="K19" s="1">
        <v>9.1603059999999996E-4</v>
      </c>
      <c r="Q19" s="1">
        <v>2.7E-2</v>
      </c>
      <c r="R19">
        <v>1000</v>
      </c>
      <c r="S19" s="1">
        <v>1.264645E-12</v>
      </c>
      <c r="T19" s="1">
        <v>6.4398100000000002E-12</v>
      </c>
      <c r="U19">
        <v>64</v>
      </c>
      <c r="V19" s="1">
        <v>6.4000000000000001E-2</v>
      </c>
      <c r="W19" s="1">
        <v>0.32559179999999999</v>
      </c>
      <c r="X19" s="1">
        <v>1.043613E-2</v>
      </c>
      <c r="Y19" s="1">
        <v>5.739238E-4</v>
      </c>
      <c r="Z19" s="1">
        <v>6.4478019999999999E-3</v>
      </c>
      <c r="AA19" s="1">
        <v>1.007385E-3</v>
      </c>
    </row>
    <row r="21" spans="1:27" x14ac:dyDescent="0.3">
      <c r="A21" s="1" t="s">
        <v>9</v>
      </c>
      <c r="C21" s="1"/>
      <c r="D21" s="1"/>
      <c r="F21" s="1"/>
      <c r="G21" s="1"/>
      <c r="H21" s="1"/>
      <c r="I21" s="1"/>
      <c r="J21" s="1"/>
      <c r="K21" s="1"/>
      <c r="Q21" s="1" t="s">
        <v>9</v>
      </c>
      <c r="S21" s="1"/>
      <c r="T21" s="1"/>
      <c r="V21" s="1"/>
      <c r="W21" s="1"/>
      <c r="X21" s="1"/>
      <c r="Y21" s="1"/>
      <c r="Z21" s="1"/>
      <c r="AA21" s="1"/>
    </row>
    <row r="24" spans="1:27" x14ac:dyDescent="0.3">
      <c r="B24">
        <v>0</v>
      </c>
      <c r="R24">
        <v>0</v>
      </c>
    </row>
    <row r="25" spans="1:27" x14ac:dyDescent="0.3">
      <c r="A25" t="s">
        <v>1</v>
      </c>
      <c r="B25" t="s">
        <v>2</v>
      </c>
      <c r="C25" t="s">
        <v>3</v>
      </c>
      <c r="D25" t="s">
        <v>4</v>
      </c>
      <c r="E25" t="s">
        <v>5</v>
      </c>
      <c r="F25" t="s">
        <v>6</v>
      </c>
      <c r="G25" t="s">
        <v>4</v>
      </c>
      <c r="H25" t="s">
        <v>7</v>
      </c>
      <c r="I25" t="s">
        <v>4</v>
      </c>
      <c r="J25" t="s">
        <v>8</v>
      </c>
      <c r="K25" t="s">
        <v>4</v>
      </c>
      <c r="Q25" t="s">
        <v>1</v>
      </c>
      <c r="R25" t="s">
        <v>2</v>
      </c>
      <c r="S25" t="s">
        <v>3</v>
      </c>
      <c r="T25" t="s">
        <v>4</v>
      </c>
      <c r="U25" t="s">
        <v>5</v>
      </c>
      <c r="V25" t="s">
        <v>6</v>
      </c>
      <c r="W25" t="s">
        <v>4</v>
      </c>
      <c r="X25" t="s">
        <v>7</v>
      </c>
      <c r="Y25" t="s">
        <v>4</v>
      </c>
      <c r="Z25" t="s">
        <v>8</v>
      </c>
      <c r="AA25" t="s">
        <v>4</v>
      </c>
    </row>
    <row r="26" spans="1:27" x14ac:dyDescent="0.3">
      <c r="A26" s="1">
        <v>2.7E-2</v>
      </c>
      <c r="B26">
        <v>1000</v>
      </c>
      <c r="C26" s="1">
        <v>1.5105189999999999E-12</v>
      </c>
      <c r="D26" s="1">
        <v>7.3966900000000005E-12</v>
      </c>
      <c r="E26">
        <v>78</v>
      </c>
      <c r="F26" s="1">
        <v>7.8E-2</v>
      </c>
      <c r="G26" s="1">
        <v>0.35219319999999998</v>
      </c>
      <c r="H26" s="1">
        <v>1.818903E-3</v>
      </c>
      <c r="I26" s="1">
        <v>2.0775700000000001E-4</v>
      </c>
      <c r="J26" s="1">
        <v>6.5068929999999997E-3</v>
      </c>
      <c r="K26" s="1">
        <v>9.6153150000000001E-4</v>
      </c>
      <c r="Q26" s="1">
        <v>2.7E-2</v>
      </c>
      <c r="R26">
        <v>1000</v>
      </c>
      <c r="S26" s="1">
        <v>1.35852E-12</v>
      </c>
      <c r="T26" s="1">
        <v>7.0190909999999999E-12</v>
      </c>
      <c r="U26">
        <v>69</v>
      </c>
      <c r="V26" s="1">
        <v>6.9000000000000006E-2</v>
      </c>
      <c r="W26" s="1">
        <v>0.31990829999999998</v>
      </c>
      <c r="X26" s="1">
        <v>9.1188629999999996E-3</v>
      </c>
      <c r="Y26" s="1">
        <v>5.2082319999999997E-4</v>
      </c>
      <c r="Z26" s="1">
        <v>6.4797869999999999E-3</v>
      </c>
      <c r="AA26" s="1">
        <v>9.9886039999999999E-4</v>
      </c>
    </row>
    <row r="28" spans="1:27" x14ac:dyDescent="0.3">
      <c r="A28" s="1" t="s">
        <v>9</v>
      </c>
      <c r="C28" s="1"/>
      <c r="D28" s="1"/>
      <c r="F28" s="1"/>
      <c r="G28" s="1"/>
      <c r="H28" s="1"/>
      <c r="I28" s="1"/>
      <c r="J28" s="1"/>
      <c r="K28" s="1"/>
      <c r="Q28" s="1" t="s">
        <v>9</v>
      </c>
      <c r="S28" s="1"/>
      <c r="T28" s="1"/>
      <c r="V28" s="1"/>
      <c r="W28" s="1"/>
      <c r="X28" s="1"/>
      <c r="Y28" s="1"/>
      <c r="Z28" s="1"/>
      <c r="AA28" s="1"/>
    </row>
    <row r="31" spans="1:27" x14ac:dyDescent="0.3">
      <c r="B31">
        <v>0</v>
      </c>
      <c r="R31">
        <v>0</v>
      </c>
    </row>
    <row r="32" spans="1:27" x14ac:dyDescent="0.3">
      <c r="A32" t="s">
        <v>1</v>
      </c>
      <c r="B32" t="s">
        <v>2</v>
      </c>
      <c r="C32" t="s">
        <v>3</v>
      </c>
      <c r="D32" t="s">
        <v>4</v>
      </c>
      <c r="E32" t="s">
        <v>5</v>
      </c>
      <c r="F32" t="s">
        <v>6</v>
      </c>
      <c r="G32" t="s">
        <v>4</v>
      </c>
      <c r="H32" t="s">
        <v>7</v>
      </c>
      <c r="I32" t="s">
        <v>4</v>
      </c>
      <c r="J32" t="s">
        <v>8</v>
      </c>
      <c r="K32" t="s">
        <v>4</v>
      </c>
      <c r="Q32" t="s">
        <v>1</v>
      </c>
      <c r="R32" t="s">
        <v>2</v>
      </c>
      <c r="S32" t="s">
        <v>3</v>
      </c>
      <c r="T32" t="s">
        <v>4</v>
      </c>
      <c r="U32" t="s">
        <v>5</v>
      </c>
      <c r="V32" t="s">
        <v>6</v>
      </c>
      <c r="W32" t="s">
        <v>4</v>
      </c>
      <c r="X32" t="s">
        <v>7</v>
      </c>
      <c r="Y32" t="s">
        <v>4</v>
      </c>
      <c r="Z32" t="s">
        <v>8</v>
      </c>
      <c r="AA32" t="s">
        <v>4</v>
      </c>
    </row>
    <row r="33" spans="1:27" x14ac:dyDescent="0.3">
      <c r="A33" s="1">
        <v>2.7E-2</v>
      </c>
      <c r="B33">
        <v>1000</v>
      </c>
      <c r="C33" s="1">
        <v>1.1019719999999999E-12</v>
      </c>
      <c r="D33" s="1">
        <v>5.9436559999999999E-12</v>
      </c>
      <c r="E33">
        <v>61</v>
      </c>
      <c r="F33" s="1">
        <v>6.0999999999999999E-2</v>
      </c>
      <c r="G33" s="1">
        <v>0.28872540000000002</v>
      </c>
      <c r="H33" s="1">
        <v>1.7642020000000001E-3</v>
      </c>
      <c r="I33" s="1">
        <v>2.05789E-4</v>
      </c>
      <c r="J33" s="1">
        <v>5.9100189999999999E-3</v>
      </c>
      <c r="K33" s="1">
        <v>2.126808E-3</v>
      </c>
      <c r="Q33" s="1">
        <v>2.7E-2</v>
      </c>
      <c r="R33">
        <v>1000</v>
      </c>
      <c r="S33" s="1">
        <v>1.2665090000000001E-12</v>
      </c>
      <c r="T33" s="1">
        <v>6.2800830000000002E-12</v>
      </c>
      <c r="U33">
        <v>73</v>
      </c>
      <c r="V33" s="1">
        <v>7.2999999999999995E-2</v>
      </c>
      <c r="W33" s="1">
        <v>0.32214090000000001</v>
      </c>
      <c r="X33" s="1">
        <v>8.8375829999999996E-3</v>
      </c>
      <c r="Y33" s="1">
        <v>5.0993839999999996E-4</v>
      </c>
      <c r="Z33" s="1">
        <v>7.0804559999999997E-3</v>
      </c>
      <c r="AA33" s="1">
        <v>1.017963E-3</v>
      </c>
    </row>
    <row r="35" spans="1:27" x14ac:dyDescent="0.3">
      <c r="A35" s="1" t="s">
        <v>9</v>
      </c>
      <c r="C35" s="1"/>
      <c r="D35" s="1"/>
      <c r="F35" s="1"/>
      <c r="G35" s="1"/>
      <c r="H35" s="1"/>
      <c r="I35" s="1"/>
      <c r="J35" s="1"/>
      <c r="K35" s="1"/>
      <c r="Q35" s="1" t="s">
        <v>9</v>
      </c>
      <c r="S35" s="1"/>
      <c r="T35" s="1"/>
      <c r="V35" s="1"/>
      <c r="W35" s="1"/>
      <c r="X35" s="1"/>
      <c r="Y35" s="1"/>
      <c r="Z35" s="1"/>
      <c r="AA35" s="1"/>
    </row>
    <row r="36" spans="1:27" x14ac:dyDescent="0.3">
      <c r="A36" s="1"/>
      <c r="C36" s="1"/>
      <c r="D36" s="1"/>
      <c r="F36" s="1"/>
      <c r="G36" s="1"/>
      <c r="H36" s="1"/>
      <c r="I36" s="1"/>
      <c r="J36" s="1"/>
      <c r="K36" s="1"/>
      <c r="Q36" s="1"/>
      <c r="S36" s="1"/>
      <c r="T36" s="1"/>
      <c r="V36" s="1"/>
      <c r="W36" s="1"/>
      <c r="X36" s="1"/>
      <c r="Y36" s="1"/>
      <c r="Z36" s="1"/>
      <c r="AA36" s="1"/>
    </row>
    <row r="38" spans="1:27" x14ac:dyDescent="0.3">
      <c r="B38">
        <v>0</v>
      </c>
      <c r="R38">
        <v>0</v>
      </c>
    </row>
    <row r="39" spans="1:27" x14ac:dyDescent="0.3">
      <c r="A39" t="s">
        <v>1</v>
      </c>
      <c r="B39" t="s">
        <v>2</v>
      </c>
      <c r="C39" t="s">
        <v>3</v>
      </c>
      <c r="D39" t="s">
        <v>4</v>
      </c>
      <c r="E39" t="s">
        <v>5</v>
      </c>
      <c r="F39" t="s">
        <v>6</v>
      </c>
      <c r="G39" t="s">
        <v>4</v>
      </c>
      <c r="H39" t="s">
        <v>7</v>
      </c>
      <c r="I39" t="s">
        <v>4</v>
      </c>
      <c r="J39" t="s">
        <v>8</v>
      </c>
      <c r="K39" t="s">
        <v>4</v>
      </c>
      <c r="Q39" t="s">
        <v>1</v>
      </c>
      <c r="R39" t="s">
        <v>2</v>
      </c>
      <c r="S39" t="s">
        <v>3</v>
      </c>
      <c r="T39" t="s">
        <v>4</v>
      </c>
      <c r="U39" t="s">
        <v>5</v>
      </c>
      <c r="V39" t="s">
        <v>6</v>
      </c>
      <c r="W39" t="s">
        <v>4</v>
      </c>
      <c r="X39" t="s">
        <v>7</v>
      </c>
      <c r="Y39" t="s">
        <v>4</v>
      </c>
      <c r="Z39" t="s">
        <v>8</v>
      </c>
      <c r="AA39" t="s">
        <v>4</v>
      </c>
    </row>
    <row r="40" spans="1:27" x14ac:dyDescent="0.3">
      <c r="A40" s="1">
        <v>2.7E-2</v>
      </c>
      <c r="B40">
        <v>1000</v>
      </c>
      <c r="C40" s="1">
        <v>6.8938910000000004E-13</v>
      </c>
      <c r="D40" s="1">
        <v>5.2215830000000002E-12</v>
      </c>
      <c r="E40">
        <v>44</v>
      </c>
      <c r="F40" s="1">
        <v>4.3999999999999997E-2</v>
      </c>
      <c r="G40" s="1">
        <v>0.2492511</v>
      </c>
      <c r="H40" s="1">
        <v>1.7880820000000001E-3</v>
      </c>
      <c r="I40" s="1">
        <v>3.0457539999999999E-4</v>
      </c>
      <c r="J40" s="1">
        <v>6.9958850000000003E-3</v>
      </c>
      <c r="K40" s="1">
        <v>1.0868029999999999E-3</v>
      </c>
      <c r="Q40" s="1">
        <v>2.7E-2</v>
      </c>
      <c r="R40">
        <v>1000</v>
      </c>
      <c r="S40" s="1">
        <v>1.6269899999999999E-12</v>
      </c>
      <c r="T40" s="1">
        <v>7.2372510000000003E-12</v>
      </c>
      <c r="U40">
        <v>83</v>
      </c>
      <c r="V40" s="1">
        <v>8.3000000000000004E-2</v>
      </c>
      <c r="W40" s="1">
        <v>0.35529880000000003</v>
      </c>
      <c r="X40" s="1">
        <v>8.8103709999999991E-3</v>
      </c>
      <c r="Y40" s="1">
        <v>4.8737759999999998E-4</v>
      </c>
      <c r="Z40" s="1">
        <v>7.1032250000000003E-3</v>
      </c>
      <c r="AA40" s="1">
        <v>1.1193760000000001E-3</v>
      </c>
    </row>
    <row r="42" spans="1:27" x14ac:dyDescent="0.3">
      <c r="A42" s="1" t="s">
        <v>9</v>
      </c>
      <c r="C42" s="1"/>
      <c r="D42" s="1"/>
      <c r="F42" s="1"/>
      <c r="G42" s="1"/>
      <c r="H42" s="1"/>
      <c r="I42" s="1"/>
      <c r="J42" s="1"/>
      <c r="K42" s="1"/>
      <c r="Q42" s="1" t="s">
        <v>9</v>
      </c>
      <c r="S42" s="1"/>
      <c r="T42" s="1"/>
      <c r="V42" s="1"/>
      <c r="W42" s="1"/>
      <c r="X42" s="1"/>
      <c r="Y42" s="1"/>
      <c r="Z42" s="1"/>
      <c r="AA42" s="1"/>
    </row>
    <row r="43" spans="1:27" x14ac:dyDescent="0.3">
      <c r="A43" s="1"/>
      <c r="C43" s="1"/>
      <c r="D43" s="1"/>
      <c r="F43" s="1"/>
      <c r="G43" s="1"/>
      <c r="H43" s="1"/>
      <c r="I43" s="1"/>
      <c r="J43" s="1"/>
      <c r="K43" s="1"/>
      <c r="Q43" s="1"/>
      <c r="S43" s="1"/>
      <c r="T43" s="1"/>
      <c r="V43" s="1"/>
      <c r="W43" s="1"/>
      <c r="X43" s="1"/>
      <c r="Y43" s="1"/>
      <c r="Z43" s="1"/>
      <c r="AA43" s="1"/>
    </row>
    <row r="45" spans="1:27" x14ac:dyDescent="0.3">
      <c r="B45">
        <v>0</v>
      </c>
      <c r="R45">
        <v>0</v>
      </c>
    </row>
    <row r="46" spans="1:27" x14ac:dyDescent="0.3">
      <c r="A46" t="s">
        <v>1</v>
      </c>
      <c r="B46" t="s">
        <v>2</v>
      </c>
      <c r="C46" t="s">
        <v>3</v>
      </c>
      <c r="D46" t="s">
        <v>4</v>
      </c>
      <c r="E46" t="s">
        <v>5</v>
      </c>
      <c r="F46" t="s">
        <v>6</v>
      </c>
      <c r="G46" t="s">
        <v>4</v>
      </c>
      <c r="H46" t="s">
        <v>7</v>
      </c>
      <c r="I46" t="s">
        <v>4</v>
      </c>
      <c r="J46" t="s">
        <v>8</v>
      </c>
      <c r="K46" t="s">
        <v>4</v>
      </c>
      <c r="Q46" t="s">
        <v>1</v>
      </c>
      <c r="R46" t="s">
        <v>2</v>
      </c>
      <c r="S46" t="s">
        <v>3</v>
      </c>
      <c r="T46" t="s">
        <v>4</v>
      </c>
      <c r="U46" t="s">
        <v>5</v>
      </c>
      <c r="V46" t="s">
        <v>6</v>
      </c>
      <c r="W46" t="s">
        <v>4</v>
      </c>
      <c r="X46" t="s">
        <v>7</v>
      </c>
      <c r="Y46" t="s">
        <v>4</v>
      </c>
      <c r="Z46" t="s">
        <v>8</v>
      </c>
      <c r="AA46" t="s">
        <v>4</v>
      </c>
    </row>
    <row r="47" spans="1:27" x14ac:dyDescent="0.3">
      <c r="A47" s="1">
        <v>2.7E-2</v>
      </c>
      <c r="B47">
        <v>1000</v>
      </c>
      <c r="C47" s="1">
        <v>6.2762270000000005E-13</v>
      </c>
      <c r="D47" s="1">
        <v>4.5602079999999997E-12</v>
      </c>
      <c r="E47">
        <v>40</v>
      </c>
      <c r="F47" s="1">
        <v>0.04</v>
      </c>
      <c r="G47" s="1">
        <v>0.2246118</v>
      </c>
      <c r="H47" s="1">
        <v>1.746987E-3</v>
      </c>
      <c r="I47" s="1">
        <v>1.848198E-4</v>
      </c>
      <c r="J47" s="1">
        <v>7.2707400000000004E-3</v>
      </c>
      <c r="K47" s="1">
        <v>1.0635079999999999E-3</v>
      </c>
      <c r="Q47" s="1">
        <v>2.7E-2</v>
      </c>
      <c r="R47">
        <v>1000</v>
      </c>
      <c r="S47" s="1">
        <v>8.7389899999999997E-13</v>
      </c>
      <c r="T47" s="1">
        <v>5.5863070000000001E-12</v>
      </c>
      <c r="U47">
        <v>46</v>
      </c>
      <c r="V47" s="1">
        <v>4.5999999999999999E-2</v>
      </c>
      <c r="W47" s="1">
        <v>0.25680720000000001</v>
      </c>
      <c r="X47" s="1">
        <v>8.7748300000000008E-3</v>
      </c>
      <c r="Y47" s="1">
        <v>5.2463729999999999E-4</v>
      </c>
      <c r="Z47" s="1">
        <v>7.3913609999999999E-3</v>
      </c>
      <c r="AA47" s="1">
        <v>1.0118499999999999E-3</v>
      </c>
    </row>
    <row r="49" spans="1:27" x14ac:dyDescent="0.3">
      <c r="A49" s="1" t="s">
        <v>9</v>
      </c>
      <c r="C49" s="1"/>
      <c r="D49" s="1"/>
      <c r="F49" s="1"/>
      <c r="G49" s="1"/>
      <c r="H49" s="1"/>
      <c r="I49" s="1"/>
      <c r="J49" s="1"/>
      <c r="K49" s="1"/>
      <c r="Q49" s="1" t="s">
        <v>9</v>
      </c>
      <c r="S49" s="1"/>
      <c r="T49" s="1"/>
      <c r="V49" s="1"/>
      <c r="W49" s="1"/>
      <c r="X49" s="1"/>
      <c r="Y49" s="1"/>
      <c r="Z49" s="1"/>
      <c r="AA49" s="1"/>
    </row>
    <row r="50" spans="1:27" x14ac:dyDescent="0.3">
      <c r="A50" s="1"/>
      <c r="C50" s="1"/>
      <c r="D50" s="1"/>
      <c r="F50" s="1"/>
      <c r="G50" s="1"/>
      <c r="H50" s="1"/>
      <c r="I50" s="1"/>
      <c r="J50" s="1"/>
      <c r="K50" s="1"/>
      <c r="Q50" s="1"/>
      <c r="S50" s="1"/>
      <c r="T50" s="1"/>
      <c r="V50" s="1"/>
      <c r="W50" s="1"/>
      <c r="X50" s="1"/>
      <c r="Y50" s="1"/>
      <c r="Z50" s="1"/>
      <c r="AA50" s="1"/>
    </row>
    <row r="52" spans="1:27" x14ac:dyDescent="0.3">
      <c r="B52">
        <v>0</v>
      </c>
      <c r="R52">
        <v>0</v>
      </c>
    </row>
    <row r="53" spans="1:27" x14ac:dyDescent="0.3">
      <c r="A53" t="s">
        <v>1</v>
      </c>
      <c r="B53" t="s">
        <v>2</v>
      </c>
      <c r="C53" t="s">
        <v>3</v>
      </c>
      <c r="D53" t="s">
        <v>4</v>
      </c>
      <c r="E53" t="s">
        <v>5</v>
      </c>
      <c r="F53" t="s">
        <v>6</v>
      </c>
      <c r="G53" t="s">
        <v>4</v>
      </c>
      <c r="H53" t="s">
        <v>7</v>
      </c>
      <c r="I53" t="s">
        <v>4</v>
      </c>
      <c r="J53" t="s">
        <v>8</v>
      </c>
      <c r="K53" t="s">
        <v>4</v>
      </c>
      <c r="Q53" t="s">
        <v>1</v>
      </c>
      <c r="R53" t="s">
        <v>2</v>
      </c>
      <c r="S53" t="s">
        <v>3</v>
      </c>
      <c r="T53" t="s">
        <v>4</v>
      </c>
      <c r="U53" t="s">
        <v>5</v>
      </c>
      <c r="V53" t="s">
        <v>6</v>
      </c>
      <c r="W53" t="s">
        <v>4</v>
      </c>
      <c r="X53" t="s">
        <v>7</v>
      </c>
      <c r="Y53" t="s">
        <v>4</v>
      </c>
      <c r="Z53" t="s">
        <v>8</v>
      </c>
      <c r="AA53" t="s">
        <v>4</v>
      </c>
    </row>
    <row r="54" spans="1:27" x14ac:dyDescent="0.3">
      <c r="A54" s="1">
        <v>2.7E-2</v>
      </c>
      <c r="B54">
        <v>1000</v>
      </c>
      <c r="C54" s="1">
        <v>6.425671E-13</v>
      </c>
      <c r="D54" s="1">
        <v>4.8771699999999999E-12</v>
      </c>
      <c r="E54">
        <v>36</v>
      </c>
      <c r="F54" s="1">
        <v>3.5999999999999997E-2</v>
      </c>
      <c r="G54" s="1">
        <v>0.22968839999999999</v>
      </c>
      <c r="H54" s="1">
        <v>1.7875269999999999E-3</v>
      </c>
      <c r="I54" s="1">
        <v>1.9662769999999999E-4</v>
      </c>
      <c r="J54" s="1">
        <v>7.1208440000000003E-3</v>
      </c>
      <c r="K54" s="1">
        <v>1.1155830000000001E-3</v>
      </c>
      <c r="Q54" s="1">
        <v>2.7E-2</v>
      </c>
      <c r="R54">
        <v>1000</v>
      </c>
      <c r="S54" s="1">
        <v>8.7693500000000004E-13</v>
      </c>
      <c r="T54" s="1">
        <v>5.2454889999999999E-12</v>
      </c>
      <c r="U54">
        <v>42</v>
      </c>
      <c r="V54" s="1">
        <v>4.2000000000000003E-2</v>
      </c>
      <c r="W54" s="1">
        <v>0.24959629999999999</v>
      </c>
      <c r="X54" s="1">
        <v>8.8273090000000002E-3</v>
      </c>
      <c r="Y54" s="1">
        <v>5.0792700000000003E-4</v>
      </c>
      <c r="Z54" s="1">
        <v>7.0045589999999996E-3</v>
      </c>
      <c r="AA54" s="1">
        <v>1.0931490000000001E-3</v>
      </c>
    </row>
    <row r="56" spans="1:27" x14ac:dyDescent="0.3">
      <c r="A56" s="1" t="s">
        <v>9</v>
      </c>
      <c r="C56" s="1"/>
      <c r="D56" s="1"/>
      <c r="F56" s="1"/>
      <c r="G56" s="1"/>
      <c r="H56" s="1"/>
      <c r="I56" s="1"/>
      <c r="J56" s="1"/>
      <c r="K56" s="1"/>
      <c r="Q56" s="1" t="s">
        <v>9</v>
      </c>
      <c r="S56" s="1"/>
      <c r="T56" s="1"/>
      <c r="V56" s="1"/>
      <c r="W56" s="1"/>
      <c r="X56" s="1"/>
      <c r="Y56" s="1"/>
      <c r="Z56" s="1"/>
      <c r="AA56" s="1"/>
    </row>
    <row r="57" spans="1:27" x14ac:dyDescent="0.3">
      <c r="A57" s="1"/>
      <c r="C57" s="1"/>
      <c r="D57" s="1"/>
      <c r="F57" s="1"/>
      <c r="G57" s="1"/>
      <c r="H57" s="1"/>
      <c r="I57" s="1"/>
      <c r="J57" s="1"/>
      <c r="K57" s="1"/>
      <c r="Q57" s="1"/>
      <c r="S57" s="1"/>
      <c r="T57" s="1"/>
      <c r="V57" s="1"/>
      <c r="W57" s="1"/>
      <c r="X57" s="1"/>
      <c r="Y57" s="1"/>
      <c r="Z57" s="1"/>
      <c r="AA57" s="1"/>
    </row>
    <row r="59" spans="1:27" x14ac:dyDescent="0.3">
      <c r="B59">
        <v>0</v>
      </c>
      <c r="R59">
        <v>0</v>
      </c>
    </row>
    <row r="60" spans="1:27" x14ac:dyDescent="0.3">
      <c r="A60" t="s">
        <v>1</v>
      </c>
      <c r="B60" t="s">
        <v>2</v>
      </c>
      <c r="C60" t="s">
        <v>3</v>
      </c>
      <c r="D60" t="s">
        <v>4</v>
      </c>
      <c r="E60" t="s">
        <v>5</v>
      </c>
      <c r="F60" t="s">
        <v>6</v>
      </c>
      <c r="G60" t="s">
        <v>4</v>
      </c>
      <c r="H60" t="s">
        <v>7</v>
      </c>
      <c r="I60" t="s">
        <v>4</v>
      </c>
      <c r="J60" t="s">
        <v>8</v>
      </c>
      <c r="K60" t="s">
        <v>4</v>
      </c>
      <c r="Q60" t="s">
        <v>1</v>
      </c>
      <c r="R60" t="s">
        <v>2</v>
      </c>
      <c r="S60" t="s">
        <v>3</v>
      </c>
      <c r="T60" t="s">
        <v>4</v>
      </c>
      <c r="U60" t="s">
        <v>5</v>
      </c>
      <c r="V60" t="s">
        <v>6</v>
      </c>
      <c r="W60" t="s">
        <v>4</v>
      </c>
      <c r="X60" t="s">
        <v>7</v>
      </c>
      <c r="Y60" t="s">
        <v>4</v>
      </c>
      <c r="Z60" t="s">
        <v>8</v>
      </c>
      <c r="AA60" t="s">
        <v>4</v>
      </c>
    </row>
    <row r="61" spans="1:27" x14ac:dyDescent="0.3">
      <c r="A61" s="1">
        <v>2.7E-2</v>
      </c>
      <c r="B61">
        <v>1000</v>
      </c>
      <c r="C61" s="1">
        <v>7.2301590000000004E-13</v>
      </c>
      <c r="D61" s="1">
        <v>4.8117739999999997E-12</v>
      </c>
      <c r="E61">
        <v>41</v>
      </c>
      <c r="F61" s="1">
        <v>4.1000000000000002E-2</v>
      </c>
      <c r="G61" s="1">
        <v>0.24775059999999999</v>
      </c>
      <c r="H61" s="1">
        <v>1.763092E-3</v>
      </c>
      <c r="I61" s="1">
        <v>2.0338520000000001E-4</v>
      </c>
      <c r="J61" s="1">
        <v>7.210836E-3</v>
      </c>
      <c r="K61" s="1">
        <v>1.114243E-3</v>
      </c>
      <c r="Q61" s="1">
        <v>2.7E-2</v>
      </c>
      <c r="R61">
        <v>1000</v>
      </c>
      <c r="S61" s="1">
        <v>8.509183E-13</v>
      </c>
      <c r="T61" s="1">
        <v>5.6786710000000002E-12</v>
      </c>
      <c r="U61">
        <v>74</v>
      </c>
      <c r="V61" s="1">
        <v>7.3999999999999996E-2</v>
      </c>
      <c r="W61" s="1">
        <v>0.64570959999999999</v>
      </c>
      <c r="X61" s="1">
        <v>8.6929169999999997E-3</v>
      </c>
      <c r="Y61" s="1">
        <v>5.233932E-4</v>
      </c>
      <c r="Z61" s="1">
        <v>7.6149859999999998E-3</v>
      </c>
      <c r="AA61" s="1">
        <v>1.1014029999999999E-3</v>
      </c>
    </row>
    <row r="63" spans="1:27" x14ac:dyDescent="0.3">
      <c r="A63" s="1" t="s">
        <v>9</v>
      </c>
      <c r="C63" s="1"/>
      <c r="D63" s="1"/>
      <c r="F63" s="1"/>
      <c r="G63" s="1"/>
      <c r="H63" s="1"/>
      <c r="I63" s="1"/>
      <c r="J63" s="1"/>
      <c r="K63" s="1"/>
      <c r="Q63" s="1" t="s">
        <v>9</v>
      </c>
      <c r="S63" s="1"/>
      <c r="T63" s="1"/>
      <c r="V63" s="1"/>
      <c r="W63" s="1"/>
      <c r="X63" s="1"/>
      <c r="Y63" s="1"/>
      <c r="Z63" s="1"/>
      <c r="AA63" s="1"/>
    </row>
    <row r="64" spans="1:27" x14ac:dyDescent="0.3">
      <c r="A64" s="1"/>
      <c r="C64" s="1"/>
      <c r="D64" s="1"/>
      <c r="F64" s="1"/>
      <c r="G64" s="1"/>
      <c r="H64" s="1"/>
      <c r="I64" s="1"/>
      <c r="J64" s="1"/>
      <c r="K64" s="1"/>
      <c r="Q64" s="1"/>
      <c r="S64" s="1"/>
      <c r="T64" s="1"/>
      <c r="V64" s="1"/>
      <c r="W64" s="1"/>
      <c r="X64" s="1"/>
      <c r="Y64" s="1"/>
      <c r="Z64" s="1"/>
      <c r="AA64" s="1"/>
    </row>
    <row r="66" spans="1:27" x14ac:dyDescent="0.3">
      <c r="B66">
        <v>0</v>
      </c>
      <c r="R66">
        <v>0</v>
      </c>
    </row>
    <row r="67" spans="1:27" x14ac:dyDescent="0.3">
      <c r="A67" t="s">
        <v>1</v>
      </c>
      <c r="B67" t="s">
        <v>2</v>
      </c>
      <c r="C67" t="s">
        <v>3</v>
      </c>
      <c r="D67" t="s">
        <v>4</v>
      </c>
      <c r="E67" t="s">
        <v>5</v>
      </c>
      <c r="F67" t="s">
        <v>6</v>
      </c>
      <c r="G67" t="s">
        <v>4</v>
      </c>
      <c r="H67" t="s">
        <v>7</v>
      </c>
      <c r="I67" t="s">
        <v>4</v>
      </c>
      <c r="J67" t="s">
        <v>8</v>
      </c>
      <c r="K67" t="s">
        <v>4</v>
      </c>
      <c r="Q67" t="s">
        <v>1</v>
      </c>
      <c r="R67" t="s">
        <v>2</v>
      </c>
      <c r="S67" t="s">
        <v>3</v>
      </c>
      <c r="T67" t="s">
        <v>4</v>
      </c>
      <c r="U67" t="s">
        <v>5</v>
      </c>
      <c r="V67" t="s">
        <v>6</v>
      </c>
      <c r="W67" t="s">
        <v>4</v>
      </c>
      <c r="X67" t="s">
        <v>7</v>
      </c>
      <c r="Y67" t="s">
        <v>4</v>
      </c>
      <c r="Z67" t="s">
        <v>8</v>
      </c>
      <c r="AA67" t="s">
        <v>4</v>
      </c>
    </row>
    <row r="68" spans="1:27" x14ac:dyDescent="0.3">
      <c r="A68" s="1">
        <v>2.7E-2</v>
      </c>
      <c r="B68">
        <v>1000</v>
      </c>
      <c r="C68" s="1">
        <v>5.6066859999999997E-13</v>
      </c>
      <c r="D68" s="1">
        <v>4.5077070000000003E-12</v>
      </c>
      <c r="E68">
        <v>35</v>
      </c>
      <c r="F68" s="1">
        <v>3.5000000000000003E-2</v>
      </c>
      <c r="G68" s="1">
        <v>0.22321479999999999</v>
      </c>
      <c r="H68" s="1">
        <v>1.7850279999999999E-3</v>
      </c>
      <c r="I68" s="1">
        <v>2.092339E-4</v>
      </c>
      <c r="J68" s="1">
        <v>6.9931749999999999E-3</v>
      </c>
      <c r="K68" s="1">
        <v>1.087604E-3</v>
      </c>
      <c r="Q68" s="1">
        <v>2.7E-2</v>
      </c>
      <c r="R68">
        <v>1000</v>
      </c>
      <c r="S68" s="1">
        <v>6.6574629999999995E-13</v>
      </c>
      <c r="T68" s="1">
        <v>5.1062409999999996E-12</v>
      </c>
      <c r="U68">
        <v>42</v>
      </c>
      <c r="V68" s="1">
        <v>4.2000000000000003E-2</v>
      </c>
      <c r="W68" s="1">
        <v>0.23726</v>
      </c>
      <c r="X68" s="1">
        <v>8.8825659999999997E-3</v>
      </c>
      <c r="Y68" s="1">
        <v>4.9680350000000004E-4</v>
      </c>
      <c r="Z68" s="1">
        <v>7.1081039999999996E-3</v>
      </c>
      <c r="AA68" s="1">
        <v>1.066188E-3</v>
      </c>
    </row>
    <row r="70" spans="1:27" x14ac:dyDescent="0.3">
      <c r="A70" s="1" t="s">
        <v>9</v>
      </c>
      <c r="C70" s="1"/>
      <c r="D70" s="1"/>
      <c r="F70" s="1"/>
      <c r="G70" s="1"/>
      <c r="H70" s="1"/>
      <c r="I70" s="1"/>
      <c r="J70" s="1"/>
      <c r="K70" s="1"/>
      <c r="Q70" s="1" t="s">
        <v>9</v>
      </c>
      <c r="S70" s="1"/>
      <c r="T70" s="1"/>
      <c r="V70" s="1"/>
      <c r="W70" s="1"/>
      <c r="X70" s="1"/>
      <c r="Y70" s="1"/>
      <c r="Z70" s="1"/>
      <c r="AA70" s="1"/>
    </row>
    <row r="71" spans="1:27" x14ac:dyDescent="0.3">
      <c r="A71" s="1"/>
      <c r="C71" s="1"/>
      <c r="D71" s="1"/>
      <c r="F71" s="1"/>
      <c r="G71" s="1"/>
      <c r="H71" s="1"/>
      <c r="I71" s="1"/>
      <c r="J71" s="1"/>
      <c r="K71" s="1"/>
      <c r="Q71" s="1"/>
      <c r="S71" s="1"/>
      <c r="T71" s="1"/>
      <c r="V71" s="1"/>
      <c r="W71" s="1"/>
      <c r="X71" s="1"/>
      <c r="Y71" s="1"/>
      <c r="Z71" s="1"/>
      <c r="AA71" s="1"/>
    </row>
    <row r="73" spans="1:27" x14ac:dyDescent="0.3">
      <c r="B73">
        <v>0</v>
      </c>
      <c r="R73">
        <v>0</v>
      </c>
    </row>
    <row r="74" spans="1:27" x14ac:dyDescent="0.3">
      <c r="A74" t="s">
        <v>1</v>
      </c>
      <c r="B74" t="s">
        <v>2</v>
      </c>
      <c r="C74" t="s">
        <v>3</v>
      </c>
      <c r="D74" t="s">
        <v>4</v>
      </c>
      <c r="E74" t="s">
        <v>5</v>
      </c>
      <c r="F74" t="s">
        <v>6</v>
      </c>
      <c r="G74" t="s">
        <v>4</v>
      </c>
      <c r="H74" t="s">
        <v>7</v>
      </c>
      <c r="I74" t="s">
        <v>4</v>
      </c>
      <c r="J74" t="s">
        <v>8</v>
      </c>
      <c r="K74" t="s">
        <v>4</v>
      </c>
      <c r="Q74" t="s">
        <v>1</v>
      </c>
      <c r="R74" t="s">
        <v>2</v>
      </c>
      <c r="S74" t="s">
        <v>3</v>
      </c>
      <c r="T74" t="s">
        <v>4</v>
      </c>
      <c r="U74" t="s">
        <v>5</v>
      </c>
      <c r="V74" t="s">
        <v>6</v>
      </c>
      <c r="W74" t="s">
        <v>4</v>
      </c>
      <c r="X74" t="s">
        <v>7</v>
      </c>
      <c r="Y74" t="s">
        <v>4</v>
      </c>
      <c r="Z74" t="s">
        <v>8</v>
      </c>
      <c r="AA74" t="s">
        <v>4</v>
      </c>
    </row>
    <row r="75" spans="1:27" x14ac:dyDescent="0.3">
      <c r="A75" s="1">
        <v>6.4000000000000001E-2</v>
      </c>
      <c r="B75">
        <v>1000</v>
      </c>
      <c r="C75" s="1">
        <v>2.3128860000000002E-13</v>
      </c>
      <c r="D75" s="1">
        <v>3.120969E-12</v>
      </c>
      <c r="E75">
        <v>13</v>
      </c>
      <c r="F75" s="1">
        <v>1.2999999999999999E-2</v>
      </c>
      <c r="G75" s="1">
        <v>0.13729479999999999</v>
      </c>
      <c r="H75" s="1">
        <v>1.8094630000000001E-3</v>
      </c>
      <c r="I75" s="1">
        <v>1.9610990000000001E-4</v>
      </c>
      <c r="J75" s="1">
        <v>6.6852509999999997E-3</v>
      </c>
      <c r="K75" s="1">
        <v>1.0802959999999999E-3</v>
      </c>
      <c r="Q75" s="1">
        <v>6.4000000000000001E-2</v>
      </c>
      <c r="R75">
        <v>1000</v>
      </c>
      <c r="S75" s="1">
        <v>3.8181010000000002E-13</v>
      </c>
      <c r="T75" s="1">
        <v>3.6950289999999997E-12</v>
      </c>
      <c r="U75">
        <v>23</v>
      </c>
      <c r="V75" s="1">
        <v>2.3E-2</v>
      </c>
      <c r="W75" s="1">
        <v>1.181163</v>
      </c>
      <c r="X75" s="1">
        <v>9.0702709999999995E-3</v>
      </c>
      <c r="Y75" s="1">
        <v>5.7902859999999997E-4</v>
      </c>
      <c r="Z75" s="1">
        <v>6.9836869999999997E-3</v>
      </c>
      <c r="AA75" s="1">
        <v>1.1300640000000001E-3</v>
      </c>
    </row>
    <row r="77" spans="1:27" x14ac:dyDescent="0.3">
      <c r="A77" s="1" t="s">
        <v>9</v>
      </c>
      <c r="C77" s="1"/>
      <c r="D77" s="1"/>
      <c r="F77" s="1"/>
      <c r="G77" s="1"/>
      <c r="H77" s="1"/>
      <c r="I77" s="1"/>
      <c r="J77" s="1"/>
      <c r="K77" s="1"/>
      <c r="Q77" s="1" t="s">
        <v>9</v>
      </c>
      <c r="S77" s="1"/>
      <c r="T77" s="1"/>
      <c r="V77" s="1"/>
      <c r="W77" s="1"/>
      <c r="X77" s="1"/>
      <c r="Y77" s="1"/>
      <c r="Z77" s="1"/>
      <c r="AA77" s="1"/>
    </row>
    <row r="78" spans="1:27" x14ac:dyDescent="0.3">
      <c r="A78" s="1"/>
      <c r="C78" s="1"/>
      <c r="D78" s="1"/>
      <c r="F78" s="1"/>
      <c r="G78" s="1"/>
      <c r="H78" s="1"/>
      <c r="I78" s="1"/>
      <c r="J78" s="1"/>
      <c r="K78" s="1"/>
      <c r="Q78" s="1"/>
      <c r="S78" s="1"/>
      <c r="T78" s="1"/>
      <c r="V78" s="1"/>
      <c r="W78" s="1"/>
      <c r="X78" s="1"/>
      <c r="Y78" s="1"/>
      <c r="Z78" s="1"/>
      <c r="AA78" s="1"/>
    </row>
    <row r="79" spans="1:27" x14ac:dyDescent="0.3">
      <c r="A79" t="s">
        <v>9</v>
      </c>
    </row>
    <row r="80" spans="1:27" x14ac:dyDescent="0.3">
      <c r="R80">
        <v>0</v>
      </c>
    </row>
    <row r="81" spans="1:27" x14ac:dyDescent="0.3">
      <c r="Q81" t="s">
        <v>1</v>
      </c>
      <c r="R81" t="s">
        <v>2</v>
      </c>
      <c r="S81" t="s">
        <v>3</v>
      </c>
      <c r="T81" t="s">
        <v>4</v>
      </c>
      <c r="U81" t="s">
        <v>5</v>
      </c>
      <c r="V81" t="s">
        <v>6</v>
      </c>
      <c r="W81" t="s">
        <v>4</v>
      </c>
      <c r="X81" t="s">
        <v>7</v>
      </c>
      <c r="Y81" t="s">
        <v>4</v>
      </c>
      <c r="Z81" t="s">
        <v>8</v>
      </c>
      <c r="AA81" t="s">
        <v>4</v>
      </c>
    </row>
    <row r="82" spans="1:27" x14ac:dyDescent="0.3">
      <c r="B82">
        <v>0</v>
      </c>
      <c r="Q82" s="1">
        <v>6.4000000000000001E-2</v>
      </c>
      <c r="R82">
        <v>1000</v>
      </c>
      <c r="S82" s="1">
        <v>3.6656029999999998E-13</v>
      </c>
      <c r="T82" s="1">
        <v>3.7584540000000003E-12</v>
      </c>
      <c r="U82">
        <v>18</v>
      </c>
      <c r="V82" s="1">
        <v>1.7999999999999999E-2</v>
      </c>
      <c r="W82" s="1">
        <v>0.17806659999999999</v>
      </c>
      <c r="X82" s="1">
        <v>8.8839539999999995E-3</v>
      </c>
      <c r="Y82" s="1">
        <v>5.5783709999999997E-4</v>
      </c>
      <c r="Z82" s="1">
        <v>7.1972829999999996E-3</v>
      </c>
      <c r="AA82" s="1">
        <v>1.097808E-3</v>
      </c>
    </row>
    <row r="83" spans="1:27" x14ac:dyDescent="0.3">
      <c r="A83" t="s">
        <v>1</v>
      </c>
      <c r="B83" t="s">
        <v>2</v>
      </c>
      <c r="C83" t="s">
        <v>3</v>
      </c>
      <c r="D83" t="s">
        <v>4</v>
      </c>
      <c r="E83" t="s">
        <v>5</v>
      </c>
      <c r="F83" t="s">
        <v>6</v>
      </c>
      <c r="G83" t="s">
        <v>4</v>
      </c>
      <c r="H83" t="s">
        <v>7</v>
      </c>
      <c r="I83" t="s">
        <v>4</v>
      </c>
      <c r="J83" t="s">
        <v>8</v>
      </c>
      <c r="K83" t="s">
        <v>4</v>
      </c>
    </row>
    <row r="84" spans="1:27" x14ac:dyDescent="0.3">
      <c r="A84" s="1">
        <v>6.4000000000000001E-2</v>
      </c>
      <c r="B84">
        <v>1000</v>
      </c>
      <c r="C84" s="1">
        <v>4.7864660000000004E-13</v>
      </c>
      <c r="D84" s="1">
        <v>4.3746129999999998E-12</v>
      </c>
      <c r="E84">
        <v>23</v>
      </c>
      <c r="F84" s="1">
        <v>2.3E-2</v>
      </c>
      <c r="G84" s="1">
        <v>0.1910694</v>
      </c>
      <c r="H84" s="1">
        <v>1.793635E-3</v>
      </c>
      <c r="I84" s="1">
        <v>1.9122E-4</v>
      </c>
      <c r="J84" s="1">
        <v>6.972303E-3</v>
      </c>
      <c r="K84" s="1">
        <v>1.0733590000000001E-3</v>
      </c>
      <c r="Q84" s="1" t="s">
        <v>9</v>
      </c>
      <c r="S84" s="1"/>
      <c r="T84" s="1"/>
      <c r="V84" s="1"/>
      <c r="W84" s="1"/>
      <c r="X84" s="1"/>
      <c r="Y84" s="1"/>
      <c r="Z84" s="1"/>
      <c r="AA84" s="1"/>
    </row>
    <row r="85" spans="1:27" x14ac:dyDescent="0.3">
      <c r="Q85" s="1"/>
      <c r="S85" s="1"/>
      <c r="T85" s="1"/>
      <c r="V85" s="1"/>
      <c r="W85" s="1"/>
      <c r="X85" s="1"/>
      <c r="Y85" s="1"/>
      <c r="Z85" s="1"/>
      <c r="AA85" s="1"/>
    </row>
    <row r="86" spans="1:27" x14ac:dyDescent="0.3">
      <c r="A86" t="s">
        <v>9</v>
      </c>
    </row>
    <row r="87" spans="1:27" x14ac:dyDescent="0.3">
      <c r="A87" s="1"/>
      <c r="C87" s="1"/>
      <c r="D87" s="1"/>
      <c r="F87" s="1"/>
      <c r="G87" s="1"/>
      <c r="H87" s="1"/>
      <c r="I87" s="1"/>
      <c r="J87" s="1"/>
      <c r="K87" s="1"/>
      <c r="Q87" t="s">
        <v>9</v>
      </c>
    </row>
    <row r="88" spans="1:27" x14ac:dyDescent="0.3">
      <c r="A88" s="1"/>
      <c r="C88" s="1"/>
      <c r="D88" s="1"/>
      <c r="F88" s="1"/>
      <c r="G88" s="1"/>
      <c r="H88" s="1"/>
      <c r="I88" s="1"/>
      <c r="J88" s="1"/>
      <c r="K88" s="1"/>
    </row>
    <row r="89" spans="1:27" x14ac:dyDescent="0.3">
      <c r="B89">
        <v>0</v>
      </c>
    </row>
    <row r="90" spans="1:27" x14ac:dyDescent="0.3">
      <c r="A90" t="s">
        <v>1</v>
      </c>
      <c r="B90" t="s">
        <v>2</v>
      </c>
      <c r="C90" t="s">
        <v>3</v>
      </c>
      <c r="D90" t="s">
        <v>4</v>
      </c>
      <c r="E90" t="s">
        <v>5</v>
      </c>
      <c r="F90" t="s">
        <v>6</v>
      </c>
      <c r="G90" t="s">
        <v>4</v>
      </c>
      <c r="H90" t="s">
        <v>7</v>
      </c>
      <c r="I90" t="s">
        <v>4</v>
      </c>
      <c r="J90" t="s">
        <v>8</v>
      </c>
      <c r="K90" t="s">
        <v>4</v>
      </c>
      <c r="R90">
        <v>0</v>
      </c>
    </row>
    <row r="91" spans="1:27" x14ac:dyDescent="0.3">
      <c r="A91" s="1">
        <v>6.4000000000000001E-2</v>
      </c>
      <c r="B91">
        <v>1000</v>
      </c>
      <c r="C91" s="1">
        <v>5.9987669999999998E-13</v>
      </c>
      <c r="D91" s="1">
        <v>4.5916209999999999E-12</v>
      </c>
      <c r="E91">
        <v>29</v>
      </c>
      <c r="F91" s="1">
        <v>2.9000000000000001E-2</v>
      </c>
      <c r="G91" s="1">
        <v>0.20542930000000001</v>
      </c>
      <c r="H91" s="1">
        <v>1.7769750000000001E-3</v>
      </c>
      <c r="I91" s="1">
        <v>3.1331879999999999E-4</v>
      </c>
      <c r="J91" s="1">
        <v>7.3528710000000004E-3</v>
      </c>
      <c r="K91" s="1">
        <v>1.1148600000000001E-3</v>
      </c>
      <c r="Q91" t="s">
        <v>1</v>
      </c>
      <c r="R91" t="s">
        <v>2</v>
      </c>
      <c r="S91" t="s">
        <v>3</v>
      </c>
      <c r="T91" t="s">
        <v>4</v>
      </c>
      <c r="U91" t="s">
        <v>5</v>
      </c>
      <c r="V91" t="s">
        <v>6</v>
      </c>
      <c r="W91" t="s">
        <v>4</v>
      </c>
      <c r="X91" t="s">
        <v>7</v>
      </c>
      <c r="Y91" t="s">
        <v>4</v>
      </c>
      <c r="Z91" t="s">
        <v>8</v>
      </c>
      <c r="AA91" t="s">
        <v>4</v>
      </c>
    </row>
    <row r="92" spans="1:27" x14ac:dyDescent="0.3">
      <c r="Q92" s="1">
        <v>6.4000000000000001E-2</v>
      </c>
      <c r="R92">
        <v>1000</v>
      </c>
      <c r="S92" s="1">
        <v>4.3862510000000002E-13</v>
      </c>
      <c r="T92" s="1">
        <v>3.7502489999999999E-12</v>
      </c>
      <c r="U92">
        <v>22</v>
      </c>
      <c r="V92" s="1">
        <v>2.1999999999999999E-2</v>
      </c>
      <c r="W92" s="1">
        <v>0.18316540000000001</v>
      </c>
      <c r="X92" s="1">
        <v>8.9722529999999995E-3</v>
      </c>
      <c r="Y92" s="1">
        <v>5.2003659999999997E-4</v>
      </c>
      <c r="Z92" s="1">
        <v>7.0777449999999999E-3</v>
      </c>
      <c r="AA92" s="1">
        <v>1.0281680000000001E-3</v>
      </c>
    </row>
    <row r="93" spans="1:27" x14ac:dyDescent="0.3">
      <c r="A93" t="s">
        <v>9</v>
      </c>
    </row>
    <row r="94" spans="1:27" x14ac:dyDescent="0.3">
      <c r="A94" s="1"/>
      <c r="C94" s="1"/>
      <c r="D94" s="1"/>
      <c r="F94" s="1"/>
      <c r="G94" s="1"/>
      <c r="H94" s="1"/>
      <c r="I94" s="1"/>
      <c r="J94" s="1"/>
      <c r="K94" s="1"/>
      <c r="Q94" s="1" t="s">
        <v>9</v>
      </c>
      <c r="S94" s="1"/>
      <c r="T94" s="1"/>
      <c r="V94" s="1"/>
      <c r="W94" s="1"/>
      <c r="X94" s="1"/>
      <c r="Y94" s="1"/>
      <c r="Z94" s="1"/>
      <c r="AA94" s="1"/>
    </row>
    <row r="95" spans="1:27" x14ac:dyDescent="0.3">
      <c r="A95" s="1"/>
      <c r="C95" s="1"/>
      <c r="D95" s="1"/>
      <c r="F95" s="1"/>
      <c r="G95" s="1"/>
      <c r="H95" s="1"/>
      <c r="I95" s="1"/>
      <c r="J95" s="1"/>
      <c r="K95" s="1"/>
    </row>
    <row r="96" spans="1:27" x14ac:dyDescent="0.3">
      <c r="B96">
        <v>0</v>
      </c>
    </row>
    <row r="97" spans="1:27" x14ac:dyDescent="0.3">
      <c r="A97" t="s">
        <v>1</v>
      </c>
      <c r="B97" t="s">
        <v>2</v>
      </c>
      <c r="C97" t="s">
        <v>3</v>
      </c>
      <c r="D97" t="s">
        <v>4</v>
      </c>
      <c r="E97" t="s">
        <v>5</v>
      </c>
      <c r="F97" t="s">
        <v>6</v>
      </c>
      <c r="G97" t="s">
        <v>4</v>
      </c>
      <c r="H97" t="s">
        <v>7</v>
      </c>
      <c r="I97" t="s">
        <v>4</v>
      </c>
      <c r="J97" t="s">
        <v>8</v>
      </c>
      <c r="K97" t="s">
        <v>4</v>
      </c>
      <c r="R97">
        <v>0</v>
      </c>
    </row>
    <row r="98" spans="1:27" x14ac:dyDescent="0.3">
      <c r="A98" s="1">
        <v>6.4000000000000001E-2</v>
      </c>
      <c r="B98">
        <v>1000</v>
      </c>
      <c r="C98" s="1">
        <v>1.9596250000000001E-13</v>
      </c>
      <c r="D98" s="1">
        <v>3.6258490000000002E-12</v>
      </c>
      <c r="E98">
        <v>11</v>
      </c>
      <c r="F98" s="1">
        <v>1.0999999999999999E-2</v>
      </c>
      <c r="G98" s="1">
        <v>0.1220405</v>
      </c>
      <c r="H98" s="1">
        <v>1.798078E-3</v>
      </c>
      <c r="I98" s="1">
        <v>1.985977E-4</v>
      </c>
      <c r="J98" s="1">
        <v>6.8150880000000004E-3</v>
      </c>
      <c r="K98" s="1">
        <v>1.052669E-3</v>
      </c>
      <c r="Q98" t="s">
        <v>1</v>
      </c>
      <c r="R98" t="s">
        <v>2</v>
      </c>
      <c r="S98" t="s">
        <v>3</v>
      </c>
      <c r="T98" t="s">
        <v>4</v>
      </c>
      <c r="U98" t="s">
        <v>5</v>
      </c>
      <c r="V98" t="s">
        <v>6</v>
      </c>
      <c r="W98" t="s">
        <v>4</v>
      </c>
      <c r="X98" t="s">
        <v>7</v>
      </c>
      <c r="Y98" t="s">
        <v>4</v>
      </c>
      <c r="Z98" t="s">
        <v>8</v>
      </c>
      <c r="AA98" t="s">
        <v>4</v>
      </c>
    </row>
    <row r="99" spans="1:27" x14ac:dyDescent="0.3">
      <c r="Q99" s="1">
        <v>6.4000000000000001E-2</v>
      </c>
      <c r="R99">
        <v>1000</v>
      </c>
      <c r="S99" s="1">
        <v>3.6149160000000002E-13</v>
      </c>
      <c r="T99" s="1">
        <v>3.4763820000000001E-12</v>
      </c>
      <c r="U99">
        <v>17</v>
      </c>
      <c r="V99" s="1">
        <v>1.7000000000000001E-2</v>
      </c>
      <c r="W99" s="1">
        <v>0.13685659999999999</v>
      </c>
      <c r="X99" s="1">
        <v>8.7959319999999994E-3</v>
      </c>
      <c r="Y99" s="1">
        <v>5.1019559999999995E-4</v>
      </c>
      <c r="Z99" s="1">
        <v>6.9953430000000002E-3</v>
      </c>
      <c r="AA99" s="1">
        <v>1.0783640000000001E-3</v>
      </c>
    </row>
    <row r="100" spans="1:27" x14ac:dyDescent="0.3">
      <c r="A100" t="s">
        <v>9</v>
      </c>
    </row>
    <row r="101" spans="1:27" x14ac:dyDescent="0.3">
      <c r="A101" s="1"/>
      <c r="C101" s="1"/>
      <c r="D101" s="1"/>
      <c r="F101" s="1"/>
      <c r="G101" s="1"/>
      <c r="H101" s="1"/>
      <c r="I101" s="1"/>
      <c r="J101" s="1"/>
      <c r="K101" s="1"/>
      <c r="Q101" s="1" t="s">
        <v>9</v>
      </c>
      <c r="S101" s="1"/>
      <c r="T101" s="1"/>
      <c r="V101" s="1"/>
      <c r="W101" s="1"/>
      <c r="X101" s="1"/>
      <c r="Y101" s="1"/>
      <c r="Z101" s="1"/>
      <c r="AA101" s="1"/>
    </row>
    <row r="102" spans="1:27" x14ac:dyDescent="0.3">
      <c r="A102" s="1"/>
      <c r="C102" s="1"/>
      <c r="D102" s="1"/>
      <c r="F102" s="1"/>
      <c r="G102" s="1"/>
      <c r="H102" s="1"/>
      <c r="I102" s="1"/>
      <c r="J102" s="1"/>
      <c r="K102" s="1"/>
    </row>
    <row r="103" spans="1:27" x14ac:dyDescent="0.3">
      <c r="B103">
        <v>0</v>
      </c>
    </row>
    <row r="104" spans="1:27" x14ac:dyDescent="0.3">
      <c r="A104" t="s">
        <v>1</v>
      </c>
      <c r="B104" t="s">
        <v>2</v>
      </c>
      <c r="C104" t="s">
        <v>3</v>
      </c>
      <c r="D104" t="s">
        <v>4</v>
      </c>
      <c r="E104" t="s">
        <v>5</v>
      </c>
      <c r="F104" t="s">
        <v>6</v>
      </c>
      <c r="G104" t="s">
        <v>4</v>
      </c>
      <c r="H104" t="s">
        <v>7</v>
      </c>
      <c r="I104" t="s">
        <v>4</v>
      </c>
      <c r="J104" t="s">
        <v>8</v>
      </c>
      <c r="K104" t="s">
        <v>4</v>
      </c>
      <c r="R104">
        <v>0</v>
      </c>
    </row>
    <row r="105" spans="1:27" x14ac:dyDescent="0.3">
      <c r="A105" s="1">
        <v>6.4000000000000001E-2</v>
      </c>
      <c r="B105">
        <v>1000</v>
      </c>
      <c r="C105" s="1">
        <v>2.154541E-13</v>
      </c>
      <c r="D105" s="1">
        <v>2.9478879999999999E-12</v>
      </c>
      <c r="E105">
        <v>13</v>
      </c>
      <c r="F105" s="1">
        <v>1.2999999999999999E-2</v>
      </c>
      <c r="G105" s="1">
        <v>0.1511749</v>
      </c>
      <c r="H105" s="1">
        <v>1.753929E-3</v>
      </c>
      <c r="I105" s="1">
        <v>1.8409279999999999E-4</v>
      </c>
      <c r="J105" s="1">
        <v>7.1173199999999999E-3</v>
      </c>
      <c r="K105" s="1">
        <v>1.1556380000000001E-3</v>
      </c>
      <c r="Q105" t="s">
        <v>1</v>
      </c>
      <c r="R105" t="s">
        <v>2</v>
      </c>
      <c r="S105" t="s">
        <v>3</v>
      </c>
      <c r="T105" t="s">
        <v>4</v>
      </c>
      <c r="U105" t="s">
        <v>5</v>
      </c>
      <c r="V105" t="s">
        <v>6</v>
      </c>
      <c r="W105" t="s">
        <v>4</v>
      </c>
      <c r="X105" t="s">
        <v>7</v>
      </c>
      <c r="Y105" t="s">
        <v>4</v>
      </c>
      <c r="Z105" t="s">
        <v>8</v>
      </c>
      <c r="AA105" t="s">
        <v>4</v>
      </c>
    </row>
    <row r="106" spans="1:27" x14ac:dyDescent="0.3">
      <c r="Q106" s="1">
        <v>6.4000000000000001E-2</v>
      </c>
      <c r="R106">
        <v>1000</v>
      </c>
      <c r="S106" s="1">
        <v>3.1624359999999998E-13</v>
      </c>
      <c r="T106" s="1">
        <v>4.0630090000000003E-12</v>
      </c>
      <c r="U106">
        <v>21</v>
      </c>
      <c r="V106" s="1">
        <v>2.1000000000000001E-2</v>
      </c>
      <c r="W106" s="1">
        <v>0.18599350000000001</v>
      </c>
      <c r="X106" s="1">
        <v>8.6182229999999995E-3</v>
      </c>
      <c r="Y106" s="1">
        <v>5.649413E-4</v>
      </c>
      <c r="Z106" s="1">
        <v>7.6057700000000004E-3</v>
      </c>
      <c r="AA106" s="1">
        <v>1.0812059999999999E-3</v>
      </c>
    </row>
    <row r="107" spans="1:27" x14ac:dyDescent="0.3">
      <c r="A107" t="s">
        <v>9</v>
      </c>
    </row>
    <row r="108" spans="1:27" x14ac:dyDescent="0.3">
      <c r="A108" s="1"/>
      <c r="C108" s="1"/>
      <c r="D108" s="1"/>
      <c r="F108" s="1"/>
      <c r="G108" s="1"/>
      <c r="H108" s="1"/>
      <c r="I108" s="1"/>
      <c r="J108" s="1"/>
      <c r="K108" s="1"/>
      <c r="Q108" t="s">
        <v>9</v>
      </c>
    </row>
    <row r="110" spans="1:27" x14ac:dyDescent="0.3">
      <c r="B110">
        <v>0</v>
      </c>
    </row>
    <row r="111" spans="1:27" x14ac:dyDescent="0.3">
      <c r="A111" t="s">
        <v>1</v>
      </c>
      <c r="B111" t="s">
        <v>2</v>
      </c>
      <c r="C111" t="s">
        <v>3</v>
      </c>
      <c r="D111" t="s">
        <v>4</v>
      </c>
      <c r="E111" t="s">
        <v>5</v>
      </c>
      <c r="F111" t="s">
        <v>6</v>
      </c>
      <c r="G111" t="s">
        <v>4</v>
      </c>
      <c r="H111" t="s">
        <v>7</v>
      </c>
      <c r="I111" t="s">
        <v>4</v>
      </c>
      <c r="J111" t="s">
        <v>8</v>
      </c>
      <c r="K111" t="s">
        <v>4</v>
      </c>
      <c r="R111">
        <v>0</v>
      </c>
    </row>
    <row r="112" spans="1:27" x14ac:dyDescent="0.3">
      <c r="A112" s="1">
        <v>6.4000000000000001E-2</v>
      </c>
      <c r="B112">
        <v>1000</v>
      </c>
      <c r="C112" s="1">
        <v>2.7366910000000002E-13</v>
      </c>
      <c r="D112" s="1">
        <v>3.0930740000000002E-12</v>
      </c>
      <c r="E112">
        <v>12</v>
      </c>
      <c r="F112" s="1">
        <v>1.2E-2</v>
      </c>
      <c r="G112" s="1">
        <v>0.1089397</v>
      </c>
      <c r="H112" s="1">
        <v>1.7939130000000001E-3</v>
      </c>
      <c r="I112" s="1">
        <v>2.0700889999999999E-4</v>
      </c>
      <c r="J112" s="1">
        <v>7.3379630000000003E-3</v>
      </c>
      <c r="K112" s="1">
        <v>1.1273120000000001E-3</v>
      </c>
      <c r="Q112" t="s">
        <v>1</v>
      </c>
      <c r="R112" t="s">
        <v>2</v>
      </c>
      <c r="S112" t="s">
        <v>3</v>
      </c>
      <c r="T112" t="s">
        <v>4</v>
      </c>
      <c r="U112" t="s">
        <v>5</v>
      </c>
      <c r="V112" t="s">
        <v>6</v>
      </c>
      <c r="W112" t="s">
        <v>4</v>
      </c>
      <c r="X112" t="s">
        <v>7</v>
      </c>
      <c r="Y112" t="s">
        <v>4</v>
      </c>
      <c r="Z112" t="s">
        <v>8</v>
      </c>
      <c r="AA112" t="s">
        <v>4</v>
      </c>
    </row>
    <row r="113" spans="1:27" x14ac:dyDescent="0.3">
      <c r="Q113" s="1">
        <v>6.4000000000000001E-2</v>
      </c>
      <c r="R113">
        <v>1000</v>
      </c>
      <c r="S113" s="1">
        <v>3.5835330000000002E-13</v>
      </c>
      <c r="T113" s="1">
        <v>3.5849230000000002E-12</v>
      </c>
      <c r="U113">
        <v>22</v>
      </c>
      <c r="V113" s="1">
        <v>2.1999999999999999E-2</v>
      </c>
      <c r="W113" s="1">
        <v>0.1937874</v>
      </c>
      <c r="X113" s="1">
        <v>8.8139810000000002E-3</v>
      </c>
      <c r="Y113" s="1">
        <v>5.2620499999999997E-4</v>
      </c>
      <c r="Z113" s="1">
        <v>6.9695920000000001E-3</v>
      </c>
      <c r="AA113" s="1">
        <v>1.080868E-3</v>
      </c>
    </row>
    <row r="114" spans="1:27" x14ac:dyDescent="0.3">
      <c r="Q114" s="1"/>
      <c r="S114" s="1"/>
      <c r="T114" s="1"/>
      <c r="V114" s="1"/>
      <c r="W114" s="1"/>
      <c r="X114" s="1"/>
      <c r="Y114" s="1"/>
      <c r="Z114" s="1"/>
      <c r="AA114" s="1"/>
    </row>
    <row r="115" spans="1:27" x14ac:dyDescent="0.3">
      <c r="A115" s="1"/>
      <c r="C115" s="1"/>
      <c r="D115" s="1"/>
      <c r="F115" s="1"/>
      <c r="G115" s="1"/>
      <c r="H115" s="1"/>
      <c r="I115" s="1"/>
      <c r="J115" s="1"/>
      <c r="K115" s="1"/>
    </row>
    <row r="119" spans="1:27" x14ac:dyDescent="0.3">
      <c r="A119" s="1"/>
      <c r="C119" s="1"/>
      <c r="D119" s="1"/>
      <c r="F119" s="1"/>
      <c r="G119" s="1"/>
      <c r="H119" s="1"/>
      <c r="I119" s="1"/>
      <c r="J119" s="1"/>
      <c r="K119" s="1"/>
    </row>
    <row r="120" spans="1:27" x14ac:dyDescent="0.3">
      <c r="Q120" s="1"/>
      <c r="S120" s="1"/>
      <c r="T120" s="1"/>
      <c r="V120" s="1"/>
      <c r="W120" s="1"/>
      <c r="X120" s="1"/>
      <c r="Y120" s="1"/>
      <c r="Z120" s="1"/>
      <c r="AA120" s="1"/>
    </row>
    <row r="121" spans="1:27" x14ac:dyDescent="0.3">
      <c r="Q121" s="1"/>
      <c r="S121" s="1"/>
      <c r="T121" s="1"/>
      <c r="V121" s="1"/>
      <c r="W121" s="1"/>
      <c r="X121" s="1"/>
      <c r="Y121" s="1"/>
      <c r="Z121" s="1"/>
      <c r="AA121" s="1"/>
    </row>
    <row r="122" spans="1:27" x14ac:dyDescent="0.3">
      <c r="A122" s="1"/>
      <c r="C122" s="1"/>
      <c r="D122" s="1"/>
      <c r="F122" s="1"/>
      <c r="G122" s="1"/>
      <c r="H122" s="1"/>
      <c r="I122" s="1"/>
      <c r="J122" s="1"/>
      <c r="K122" s="1"/>
    </row>
    <row r="126" spans="1:27" x14ac:dyDescent="0.3">
      <c r="A126" s="1"/>
      <c r="C126" s="1"/>
      <c r="D126" s="1"/>
      <c r="F126" s="1"/>
      <c r="G126" s="1"/>
      <c r="H126" s="1"/>
      <c r="I126" s="1"/>
      <c r="J126" s="1"/>
      <c r="K126" s="1"/>
    </row>
    <row r="127" spans="1:27" x14ac:dyDescent="0.3">
      <c r="Q127" s="1"/>
      <c r="S127" s="1"/>
      <c r="T127" s="1"/>
      <c r="V127" s="1"/>
      <c r="W127" s="1"/>
      <c r="X127" s="1"/>
      <c r="Y127" s="1"/>
      <c r="Z127" s="1"/>
      <c r="AA127" s="1"/>
    </row>
    <row r="128" spans="1:27" x14ac:dyDescent="0.3">
      <c r="Q128" s="1"/>
      <c r="S128" s="1"/>
      <c r="T128" s="1"/>
      <c r="V128" s="1"/>
      <c r="W128" s="1"/>
      <c r="X128" s="1"/>
      <c r="Y128" s="1"/>
      <c r="Z128" s="1"/>
      <c r="AA128" s="1"/>
    </row>
    <row r="129" spans="1:27" x14ac:dyDescent="0.3">
      <c r="A129" s="1"/>
      <c r="C129" s="1"/>
      <c r="D129" s="1"/>
      <c r="F129" s="1"/>
      <c r="G129" s="1"/>
      <c r="H129" s="1"/>
      <c r="I129" s="1"/>
      <c r="J129" s="1"/>
      <c r="K129" s="1"/>
    </row>
    <row r="134" spans="1:27" x14ac:dyDescent="0.3">
      <c r="Q134" s="1"/>
      <c r="S134" s="1"/>
      <c r="T134" s="1"/>
      <c r="V134" s="1"/>
      <c r="W134" s="1"/>
      <c r="X134" s="1"/>
      <c r="Y134" s="1"/>
      <c r="Z134" s="1"/>
      <c r="AA134" s="1"/>
    </row>
    <row r="135" spans="1:27" x14ac:dyDescent="0.3">
      <c r="Q135" s="1"/>
      <c r="S135" s="1"/>
      <c r="T135" s="1"/>
      <c r="V135" s="1"/>
      <c r="W135" s="1"/>
      <c r="X135" s="1"/>
      <c r="Y135" s="1"/>
      <c r="Z135" s="1"/>
      <c r="AA135" s="1"/>
    </row>
    <row r="136" spans="1:27" x14ac:dyDescent="0.3">
      <c r="A136" s="1"/>
      <c r="C136" s="1"/>
      <c r="D136" s="1"/>
      <c r="F136" s="1"/>
      <c r="G136" s="1"/>
      <c r="H136" s="1"/>
      <c r="I136" s="1"/>
      <c r="J136" s="1"/>
      <c r="K136" s="1"/>
    </row>
    <row r="141" spans="1:27" x14ac:dyDescent="0.3">
      <c r="Q141" s="1"/>
      <c r="S141" s="1"/>
      <c r="T141" s="1"/>
      <c r="V141" s="1"/>
      <c r="W141" s="1"/>
      <c r="X141" s="1"/>
      <c r="Y141" s="1"/>
      <c r="Z141" s="1"/>
      <c r="AA141" s="1"/>
    </row>
    <row r="142" spans="1:27" x14ac:dyDescent="0.3">
      <c r="Q142" s="1"/>
      <c r="S142" s="1"/>
      <c r="T142" s="1"/>
      <c r="V142" s="1"/>
      <c r="W142" s="1"/>
      <c r="X142" s="1"/>
      <c r="Y142" s="1"/>
      <c r="Z142" s="1"/>
      <c r="AA142" s="1"/>
    </row>
    <row r="143" spans="1:27" x14ac:dyDescent="0.3">
      <c r="A143" s="1"/>
      <c r="C143" s="1"/>
      <c r="D143" s="1"/>
      <c r="F143" s="1"/>
      <c r="G143" s="1"/>
      <c r="H143" s="1"/>
      <c r="I143" s="1"/>
      <c r="J143" s="1"/>
      <c r="K143" s="1"/>
    </row>
    <row r="149" spans="1:27" x14ac:dyDescent="0.3">
      <c r="Q149" s="1"/>
      <c r="S149" s="1"/>
      <c r="T149" s="1"/>
      <c r="V149" s="1"/>
      <c r="W149" s="1"/>
      <c r="X149" s="1"/>
      <c r="Y149" s="1"/>
      <c r="Z149" s="1"/>
      <c r="AA149" s="1"/>
    </row>
    <row r="150" spans="1:27" x14ac:dyDescent="0.3">
      <c r="A150" s="1"/>
      <c r="C150" s="1"/>
      <c r="D150" s="1"/>
      <c r="F150" s="1"/>
      <c r="G150" s="1"/>
      <c r="H150" s="1"/>
      <c r="I150" s="1"/>
      <c r="J150" s="1"/>
      <c r="K150" s="1"/>
    </row>
    <row r="151" spans="1:27" x14ac:dyDescent="0.3">
      <c r="Q151" s="1"/>
      <c r="S151" s="1"/>
      <c r="T151" s="1"/>
      <c r="V151" s="1"/>
      <c r="W151" s="1"/>
      <c r="X151" s="1"/>
      <c r="Y151" s="1"/>
      <c r="Z151" s="1"/>
      <c r="AA151" s="1"/>
    </row>
    <row r="153" spans="1:27" x14ac:dyDescent="0.3">
      <c r="A153" s="1"/>
      <c r="C153" s="1"/>
      <c r="D153" s="1"/>
      <c r="F153" s="1"/>
      <c r="G153" s="1"/>
      <c r="H153" s="1"/>
      <c r="I153" s="1"/>
      <c r="J153" s="1"/>
      <c r="K153" s="1"/>
    </row>
    <row r="156" spans="1:27" x14ac:dyDescent="0.3">
      <c r="Q156" s="1"/>
      <c r="S156" s="1"/>
      <c r="T156" s="1"/>
      <c r="V156" s="1"/>
      <c r="W156" s="1"/>
      <c r="X156" s="1"/>
      <c r="Y156" s="1"/>
      <c r="Z156" s="1"/>
      <c r="AA156" s="1"/>
    </row>
    <row r="157" spans="1:27" x14ac:dyDescent="0.3">
      <c r="A157" s="1"/>
      <c r="C157" s="1"/>
      <c r="D157" s="1"/>
      <c r="F157" s="1"/>
      <c r="G157" s="1"/>
      <c r="H157" s="1"/>
      <c r="I157" s="1"/>
      <c r="J157" s="1"/>
      <c r="K157" s="1"/>
    </row>
    <row r="158" spans="1:27" x14ac:dyDescent="0.3">
      <c r="Q158" s="1"/>
      <c r="S158" s="1"/>
      <c r="T158" s="1"/>
      <c r="V158" s="1"/>
      <c r="W158" s="1"/>
      <c r="X158" s="1"/>
      <c r="Y158" s="1"/>
      <c r="Z158" s="1"/>
      <c r="AA158" s="1"/>
    </row>
    <row r="160" spans="1:27" x14ac:dyDescent="0.3">
      <c r="A160" s="1"/>
      <c r="C160" s="1"/>
      <c r="D160" s="1"/>
      <c r="F160" s="1"/>
      <c r="G160" s="1"/>
      <c r="H160" s="1"/>
      <c r="I160" s="1"/>
      <c r="J160" s="1"/>
      <c r="K160" s="1"/>
    </row>
    <row r="163" spans="1:27" x14ac:dyDescent="0.3">
      <c r="Q163" s="1"/>
      <c r="S163" s="1"/>
      <c r="T163" s="1"/>
      <c r="V163" s="1"/>
      <c r="W163" s="1"/>
      <c r="X163" s="1"/>
      <c r="Y163" s="1"/>
      <c r="Z163" s="1"/>
      <c r="AA163" s="1"/>
    </row>
    <row r="164" spans="1:27" x14ac:dyDescent="0.3">
      <c r="A164" s="1"/>
      <c r="C164" s="1"/>
      <c r="D164" s="1"/>
      <c r="F164" s="1"/>
      <c r="G164" s="1"/>
      <c r="H164" s="1"/>
      <c r="I164" s="1"/>
      <c r="J164" s="1"/>
      <c r="K164" s="1"/>
    </row>
    <row r="165" spans="1:27" x14ac:dyDescent="0.3">
      <c r="Q165" s="1"/>
      <c r="S165" s="1"/>
      <c r="T165" s="1"/>
      <c r="V165" s="1"/>
      <c r="W165" s="1"/>
      <c r="X165" s="1"/>
      <c r="Y165" s="1"/>
      <c r="Z165" s="1"/>
      <c r="AA165" s="1"/>
    </row>
    <row r="167" spans="1:27" x14ac:dyDescent="0.3">
      <c r="A167" s="1"/>
      <c r="C167" s="1"/>
      <c r="D167" s="1"/>
      <c r="F167" s="1"/>
      <c r="G167" s="1"/>
      <c r="H167" s="1"/>
      <c r="I167" s="1"/>
      <c r="J167" s="1"/>
      <c r="K167" s="1"/>
    </row>
    <row r="171" spans="1:27" x14ac:dyDescent="0.3">
      <c r="A171" s="1"/>
      <c r="C171" s="1"/>
      <c r="D171" s="1"/>
      <c r="F171" s="1"/>
      <c r="G171" s="1"/>
      <c r="H171" s="1"/>
      <c r="I171" s="1"/>
      <c r="J171" s="1"/>
      <c r="K171" s="1"/>
    </row>
    <row r="172" spans="1:27" x14ac:dyDescent="0.3">
      <c r="Q172" s="1"/>
      <c r="S172" s="1"/>
      <c r="T172" s="1"/>
      <c r="V172" s="1"/>
      <c r="W172" s="1"/>
      <c r="X172" s="1"/>
      <c r="Y172" s="1"/>
      <c r="Z172" s="1"/>
      <c r="AA172" s="1"/>
    </row>
    <row r="173" spans="1:27" x14ac:dyDescent="0.3">
      <c r="Q173" s="1"/>
      <c r="S173" s="1"/>
      <c r="T173" s="1"/>
      <c r="V173" s="1"/>
      <c r="W173" s="1"/>
      <c r="X173" s="1"/>
      <c r="Y173" s="1"/>
      <c r="Z173" s="1"/>
      <c r="AA173" s="1"/>
    </row>
    <row r="174" spans="1:27" x14ac:dyDescent="0.3">
      <c r="A174" s="1"/>
      <c r="C174" s="1"/>
      <c r="D174" s="1"/>
      <c r="F174" s="1"/>
      <c r="G174" s="1"/>
      <c r="H174" s="1"/>
      <c r="I174" s="1"/>
      <c r="J174" s="1"/>
      <c r="K174" s="1"/>
    </row>
    <row r="178" spans="1:27" x14ac:dyDescent="0.3">
      <c r="A178" s="1"/>
      <c r="C178" s="1"/>
      <c r="D178" s="1"/>
      <c r="F178" s="1"/>
      <c r="G178" s="1"/>
      <c r="H178" s="1"/>
      <c r="I178" s="1"/>
      <c r="J178" s="1"/>
      <c r="K178" s="1"/>
    </row>
    <row r="180" spans="1:27" x14ac:dyDescent="0.3">
      <c r="Q180" s="1"/>
      <c r="S180" s="1"/>
      <c r="T180" s="1"/>
      <c r="V180" s="1"/>
      <c r="W180" s="1"/>
      <c r="X180" s="1"/>
      <c r="Y180" s="1"/>
      <c r="Z180" s="1"/>
      <c r="AA180" s="1"/>
    </row>
    <row r="184" spans="1:27" x14ac:dyDescent="0.3">
      <c r="A184" s="1"/>
      <c r="C184" s="1"/>
      <c r="D184" s="1"/>
      <c r="F184" s="1"/>
      <c r="G184" s="1"/>
      <c r="H184" s="1"/>
      <c r="I184" s="1"/>
      <c r="J184" s="1"/>
      <c r="K184" s="1"/>
    </row>
    <row r="187" spans="1:27" x14ac:dyDescent="0.3">
      <c r="Q187" s="1"/>
      <c r="S187" s="1"/>
      <c r="T187" s="1"/>
      <c r="V187" s="1"/>
      <c r="W187" s="1"/>
      <c r="X187" s="1"/>
      <c r="Y187" s="1"/>
      <c r="Z187" s="1"/>
      <c r="AA187" s="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187"/>
  <sheetViews>
    <sheetView topLeftCell="Y1" workbookViewId="0">
      <selection activeCell="AI10" sqref="Z10:AI10"/>
    </sheetView>
  </sheetViews>
  <sheetFormatPr defaultRowHeight="14.4" x14ac:dyDescent="0.3"/>
  <cols>
    <col min="2" max="2" width="20.21875" bestFit="1" customWidth="1"/>
    <col min="3" max="3" width="18.6640625" bestFit="1" customWidth="1"/>
    <col min="4" max="4" width="16.5546875" bestFit="1" customWidth="1"/>
    <col min="5" max="5" width="20" bestFit="1" customWidth="1"/>
    <col min="6" max="6" width="22.44140625" bestFit="1" customWidth="1"/>
    <col min="7" max="7" width="16.5546875" bestFit="1" customWidth="1"/>
    <col min="8" max="8" width="31.77734375" bestFit="1" customWidth="1"/>
    <col min="9" max="9" width="16.5546875" bestFit="1" customWidth="1"/>
    <col min="10" max="10" width="26.5546875" bestFit="1" customWidth="1"/>
    <col min="11" max="11" width="16.5546875" bestFit="1" customWidth="1"/>
    <col min="18" max="18" width="20.21875" bestFit="1" customWidth="1"/>
    <col min="19" max="19" width="18.6640625" bestFit="1" customWidth="1"/>
    <col min="20" max="20" width="16.5546875" bestFit="1" customWidth="1"/>
    <col min="21" max="21" width="20" bestFit="1" customWidth="1"/>
    <col min="22" max="22" width="22.44140625" bestFit="1" customWidth="1"/>
    <col min="23" max="23" width="16.5546875" bestFit="1" customWidth="1"/>
    <col min="24" max="24" width="31.77734375" bestFit="1" customWidth="1"/>
    <col min="25" max="25" width="16.5546875" bestFit="1" customWidth="1"/>
    <col min="26" max="26" width="26.5546875" bestFit="1" customWidth="1"/>
    <col min="27" max="27" width="16.5546875" bestFit="1" customWidth="1"/>
    <col min="30" max="30" width="31.21875" bestFit="1" customWidth="1"/>
    <col min="31" max="31" width="20.21875" bestFit="1" customWidth="1"/>
    <col min="32" max="32" width="18.6640625" bestFit="1" customWidth="1"/>
    <col min="33" max="33" width="16.5546875" bestFit="1" customWidth="1"/>
    <col min="34" max="34" width="20" bestFit="1" customWidth="1"/>
    <col min="35" max="35" width="23.44140625" bestFit="1" customWidth="1"/>
    <col min="36" max="36" width="20.6640625" bestFit="1" customWidth="1"/>
    <col min="37" max="37" width="14.6640625" bestFit="1" customWidth="1"/>
    <col min="38" max="38" width="18.6640625" bestFit="1" customWidth="1"/>
    <col min="39" max="39" width="11.5546875" bestFit="1" customWidth="1"/>
    <col min="40" max="40" width="26.5546875" bestFit="1" customWidth="1"/>
    <col min="41" max="41" width="16.5546875" bestFit="1" customWidth="1"/>
  </cols>
  <sheetData>
    <row r="4" spans="1:41" ht="25.8" x14ac:dyDescent="0.5">
      <c r="A4" s="4" t="s">
        <v>11</v>
      </c>
      <c r="Q4" s="4" t="s">
        <v>12</v>
      </c>
      <c r="AD4" s="3" t="s">
        <v>13</v>
      </c>
    </row>
    <row r="7" spans="1:41" ht="18" x14ac:dyDescent="0.35">
      <c r="A7" t="s">
        <v>1</v>
      </c>
      <c r="B7" t="s">
        <v>2</v>
      </c>
      <c r="C7" t="s">
        <v>3</v>
      </c>
      <c r="D7" t="s">
        <v>4</v>
      </c>
      <c r="E7" t="s">
        <v>5</v>
      </c>
      <c r="F7" t="s">
        <v>6</v>
      </c>
      <c r="G7" t="s">
        <v>14</v>
      </c>
      <c r="H7" t="s">
        <v>7</v>
      </c>
      <c r="I7" t="s">
        <v>4</v>
      </c>
      <c r="J7" t="s">
        <v>8</v>
      </c>
      <c r="K7" t="s">
        <v>4</v>
      </c>
      <c r="Q7" t="s">
        <v>1</v>
      </c>
      <c r="R7" t="s">
        <v>2</v>
      </c>
      <c r="S7" t="s">
        <v>3</v>
      </c>
      <c r="T7" t="s">
        <v>4</v>
      </c>
      <c r="U7" t="s">
        <v>5</v>
      </c>
      <c r="V7" t="s">
        <v>6</v>
      </c>
      <c r="W7" t="s">
        <v>14</v>
      </c>
      <c r="X7" t="s">
        <v>7</v>
      </c>
      <c r="Y7" t="s">
        <v>4</v>
      </c>
      <c r="Z7" t="s">
        <v>8</v>
      </c>
      <c r="AA7" t="s">
        <v>4</v>
      </c>
      <c r="AD7" t="s">
        <v>1</v>
      </c>
      <c r="AE7" t="s">
        <v>2</v>
      </c>
      <c r="AF7" t="s">
        <v>3</v>
      </c>
      <c r="AG7" t="s">
        <v>4</v>
      </c>
      <c r="AH7" t="s">
        <v>5</v>
      </c>
      <c r="AI7" s="6" t="s">
        <v>6</v>
      </c>
      <c r="AJ7" s="6" t="s">
        <v>15</v>
      </c>
      <c r="AK7" s="2" t="s">
        <v>16</v>
      </c>
      <c r="AL7" s="2" t="s">
        <v>58</v>
      </c>
      <c r="AM7" s="2" t="s">
        <v>17</v>
      </c>
      <c r="AN7" t="s">
        <v>8</v>
      </c>
      <c r="AO7" t="s">
        <v>4</v>
      </c>
    </row>
    <row r="8" spans="1:41" ht="18" x14ac:dyDescent="0.35">
      <c r="A8" s="1">
        <f>A20</f>
        <v>4.7E-2</v>
      </c>
      <c r="B8">
        <f>B20+B27+B34+B41+B48</f>
        <v>5000</v>
      </c>
      <c r="C8" s="1">
        <f>SUM(C20+C27+C34+C41+C48)/5</f>
        <v>2.5095050000000002E-12</v>
      </c>
      <c r="D8" s="1">
        <f>SUM(D20+D27+D34+D41+D48)/5</f>
        <v>9.0300319999999992E-12</v>
      </c>
      <c r="E8">
        <f>E20+E27+E34+E41+E48</f>
        <v>637</v>
      </c>
      <c r="F8" s="1">
        <f>E8/B8</f>
        <v>0.12740000000000001</v>
      </c>
      <c r="G8" s="1">
        <f>SQRT(E8)</f>
        <v>25.238858928247925</v>
      </c>
      <c r="H8" s="1">
        <f>SUM(H20+H27+H34+H41+H48)/5</f>
        <v>1.8432273999999999E-3</v>
      </c>
      <c r="I8" s="1">
        <f>SUM(I20+I27+I34+I41+I48)/5</f>
        <v>3.0223064E-4</v>
      </c>
      <c r="J8" s="1">
        <f>SUM(J20+J27+J34+J41+J48)/5</f>
        <v>5.9025922E-3</v>
      </c>
      <c r="K8" s="1">
        <f>SUM(K20+K27+K34+K41+K48)/5</f>
        <v>9.9073261999999994E-4</v>
      </c>
      <c r="Q8" s="1">
        <f>Q18</f>
        <v>4.7E-2</v>
      </c>
      <c r="R8">
        <f>R18+R25+R32+R38+R45</f>
        <v>5000</v>
      </c>
      <c r="S8" s="1">
        <f>SUM(S18+S25+S32+S38+S45)/5</f>
        <v>2.5186502000000001E-12</v>
      </c>
      <c r="T8" s="1">
        <f>SUM(T18+T25+T32+T38+T45)/5</f>
        <v>8.9458602000000017E-12</v>
      </c>
      <c r="U8">
        <f>U18+U25+U32+U38+U45</f>
        <v>678</v>
      </c>
      <c r="V8" s="1">
        <f>U8/R8</f>
        <v>0.1356</v>
      </c>
      <c r="W8" s="1">
        <f>SQRT(U8)</f>
        <v>26.038433132583073</v>
      </c>
      <c r="X8" s="1">
        <f>SUM(X18+X25+X32+X38+X45)/5</f>
        <v>9.1590148000000003E-3</v>
      </c>
      <c r="Y8" s="1">
        <f>SUM(Y18+Y25+Y32+Y38+Y45)/5</f>
        <v>5.5209903999999996E-4</v>
      </c>
      <c r="Z8" s="1">
        <f>SUM(Z18+Z25+Z32+Z38+Z45)/5</f>
        <v>5.9360409999999995E-3</v>
      </c>
      <c r="AA8" s="1">
        <f>SUM(AA19+AA26+AA33+AA40+AA47+AA54+AA61+AA68)/8</f>
        <v>0</v>
      </c>
      <c r="AD8" s="1">
        <f>Q8</f>
        <v>4.7E-2</v>
      </c>
      <c r="AE8">
        <f>R8</f>
        <v>5000</v>
      </c>
      <c r="AF8" s="1">
        <f>S8-C8</f>
        <v>9.145199999999871E-15</v>
      </c>
      <c r="AG8" s="1">
        <f>(T8+D8)/2</f>
        <v>8.9879460999999997E-12</v>
      </c>
      <c r="AH8" s="5">
        <f>U8-E8</f>
        <v>41</v>
      </c>
      <c r="AI8" s="7">
        <f>AH8/AE8</f>
        <v>8.2000000000000007E-3</v>
      </c>
      <c r="AJ8" s="7">
        <f>SQRT((1/SQRT(AH8))^2+((SQRT(E8))/(AH8))^2)</f>
        <v>0.63508373494105064</v>
      </c>
      <c r="AK8" s="8">
        <f>AI8</f>
        <v>8.2000000000000007E-3</v>
      </c>
      <c r="AL8" s="8">
        <f>AK8*278000</f>
        <v>2279.6000000000004</v>
      </c>
      <c r="AM8" s="8">
        <f>AL8*AJ8</f>
        <v>1447.7368821716193</v>
      </c>
      <c r="AN8" s="1">
        <f>(Z8+J8)/2</f>
        <v>5.9193166000000002E-3</v>
      </c>
      <c r="AO8" s="1">
        <f>(AA8+K8)/2</f>
        <v>4.9536630999999997E-4</v>
      </c>
    </row>
    <row r="9" spans="1:41" ht="18" x14ac:dyDescent="0.35">
      <c r="A9" s="1"/>
      <c r="C9" s="1"/>
      <c r="D9" s="1"/>
      <c r="F9" s="1"/>
      <c r="G9" s="1"/>
      <c r="H9" s="1"/>
      <c r="I9" s="1"/>
      <c r="J9" s="1"/>
      <c r="K9" s="1"/>
      <c r="Q9" s="1"/>
      <c r="S9" s="1"/>
      <c r="T9" s="1"/>
      <c r="V9" s="1"/>
      <c r="W9" s="1"/>
      <c r="X9" s="1"/>
      <c r="Y9" s="1"/>
      <c r="Z9" s="1"/>
      <c r="AA9" s="1"/>
      <c r="AD9" s="1"/>
      <c r="AF9" s="1"/>
      <c r="AG9" s="1"/>
      <c r="AH9" s="5"/>
      <c r="AI9" s="7"/>
      <c r="AJ9" s="7"/>
      <c r="AK9" s="8"/>
      <c r="AL9" s="8"/>
      <c r="AM9" s="8"/>
      <c r="AN9" s="1"/>
      <c r="AO9" s="1"/>
    </row>
    <row r="10" spans="1:41" ht="18" x14ac:dyDescent="0.35">
      <c r="A10" s="1"/>
      <c r="C10" s="1"/>
      <c r="D10" s="1"/>
      <c r="F10" s="1"/>
      <c r="G10" s="1"/>
      <c r="H10" s="1"/>
      <c r="I10" s="1"/>
      <c r="J10" s="1"/>
      <c r="K10" s="1"/>
      <c r="Q10" s="1"/>
      <c r="S10" s="1"/>
      <c r="T10" s="1"/>
      <c r="V10" s="1"/>
      <c r="W10" s="1"/>
      <c r="X10" s="1"/>
      <c r="Y10" s="1"/>
      <c r="Z10" s="1"/>
      <c r="AA10" s="1"/>
      <c r="AD10" s="1"/>
      <c r="AF10" s="1"/>
      <c r="AG10" s="1"/>
      <c r="AH10" s="5"/>
      <c r="AI10" s="7"/>
      <c r="AJ10" s="7"/>
      <c r="AK10" s="8"/>
      <c r="AL10" s="8"/>
      <c r="AM10" s="8"/>
      <c r="AN10" s="1"/>
      <c r="AO10" s="1"/>
    </row>
    <row r="14" spans="1:41" x14ac:dyDescent="0.3">
      <c r="A14" t="s">
        <v>0</v>
      </c>
      <c r="Q14" t="s">
        <v>10</v>
      </c>
    </row>
    <row r="15" spans="1:41" x14ac:dyDescent="0.3">
      <c r="A15" t="s">
        <v>66</v>
      </c>
      <c r="Q15" t="s">
        <v>66</v>
      </c>
    </row>
    <row r="16" spans="1:41" x14ac:dyDescent="0.3">
      <c r="R16">
        <v>0</v>
      </c>
    </row>
    <row r="17" spans="1:27" x14ac:dyDescent="0.3">
      <c r="Q17" t="s">
        <v>1</v>
      </c>
      <c r="R17" t="s">
        <v>2</v>
      </c>
      <c r="S17" t="s">
        <v>3</v>
      </c>
      <c r="T17" t="s">
        <v>4</v>
      </c>
      <c r="U17" t="s">
        <v>5</v>
      </c>
      <c r="V17" t="s">
        <v>6</v>
      </c>
      <c r="W17" t="s">
        <v>4</v>
      </c>
      <c r="X17" t="s">
        <v>7</v>
      </c>
      <c r="Y17" t="s">
        <v>4</v>
      </c>
      <c r="Z17" t="s">
        <v>8</v>
      </c>
      <c r="AA17" t="s">
        <v>4</v>
      </c>
    </row>
    <row r="18" spans="1:27" x14ac:dyDescent="0.3">
      <c r="B18">
        <v>0</v>
      </c>
      <c r="Q18" s="1">
        <v>4.7E-2</v>
      </c>
      <c r="R18">
        <v>1000</v>
      </c>
      <c r="S18" s="1">
        <v>3.1604650000000001E-12</v>
      </c>
      <c r="T18" s="1">
        <v>1.038031E-11</v>
      </c>
      <c r="U18">
        <v>173</v>
      </c>
      <c r="V18" s="1">
        <v>0.17299999999999999</v>
      </c>
      <c r="W18" s="1">
        <v>0.55079429999999996</v>
      </c>
      <c r="X18" s="1">
        <v>9.2468700000000008E-3</v>
      </c>
      <c r="Y18" s="1">
        <v>5.4909049999999997E-4</v>
      </c>
      <c r="Z18" s="1">
        <v>5.9108320000000004E-3</v>
      </c>
      <c r="AA18" s="1">
        <v>1.0338560000000001E-3</v>
      </c>
    </row>
    <row r="19" spans="1:27" x14ac:dyDescent="0.3">
      <c r="A19" s="1" t="s">
        <v>1</v>
      </c>
      <c r="B19" t="s">
        <v>2</v>
      </c>
      <c r="C19" s="1" t="s">
        <v>3</v>
      </c>
      <c r="D19" s="1" t="s">
        <v>4</v>
      </c>
      <c r="E19" t="s">
        <v>5</v>
      </c>
      <c r="F19" s="1" t="s">
        <v>6</v>
      </c>
      <c r="G19" s="1" t="s">
        <v>4</v>
      </c>
      <c r="H19" s="1" t="s">
        <v>7</v>
      </c>
      <c r="I19" s="1" t="s">
        <v>4</v>
      </c>
      <c r="J19" s="1" t="s">
        <v>8</v>
      </c>
      <c r="K19" s="1" t="s">
        <v>4</v>
      </c>
      <c r="Q19" s="1"/>
      <c r="S19" s="1"/>
      <c r="T19" s="1"/>
      <c r="V19" s="1"/>
      <c r="W19" s="1"/>
      <c r="X19" s="1"/>
      <c r="Y19" s="1"/>
      <c r="Z19" s="1"/>
      <c r="AA19" s="1"/>
    </row>
    <row r="20" spans="1:27" x14ac:dyDescent="0.3">
      <c r="A20" s="1">
        <v>4.7E-2</v>
      </c>
      <c r="B20">
        <v>1000</v>
      </c>
      <c r="C20" s="1">
        <v>2.9015400000000002E-12</v>
      </c>
      <c r="D20" s="1">
        <v>9.6650469999999994E-12</v>
      </c>
      <c r="E20">
        <v>149</v>
      </c>
      <c r="F20" s="1">
        <v>0.14899999999999999</v>
      </c>
      <c r="G20" s="1">
        <v>0.4527737</v>
      </c>
      <c r="H20" s="1">
        <v>1.8458369999999999E-3</v>
      </c>
      <c r="I20" s="1">
        <v>2.2411339999999999E-4</v>
      </c>
      <c r="J20" s="1">
        <v>5.9338730000000001E-3</v>
      </c>
      <c r="K20" s="1">
        <v>9.6635289999999995E-4</v>
      </c>
      <c r="Q20" t="s">
        <v>9</v>
      </c>
    </row>
    <row r="21" spans="1:27" x14ac:dyDescent="0.3">
      <c r="A21" s="1"/>
      <c r="C21" s="1"/>
      <c r="D21" s="1"/>
      <c r="F21" s="1"/>
      <c r="G21" s="1"/>
      <c r="H21" s="1"/>
      <c r="I21" s="1"/>
      <c r="J21" s="1"/>
      <c r="K21" s="1"/>
      <c r="Q21" s="1"/>
      <c r="S21" s="1"/>
      <c r="T21" s="1"/>
      <c r="V21" s="1"/>
      <c r="W21" s="1"/>
      <c r="X21" s="1"/>
      <c r="Y21" s="1"/>
      <c r="Z21" s="1"/>
      <c r="AA21" s="1"/>
    </row>
    <row r="22" spans="1:27" x14ac:dyDescent="0.3">
      <c r="A22" t="s">
        <v>9</v>
      </c>
    </row>
    <row r="23" spans="1:27" x14ac:dyDescent="0.3">
      <c r="R23">
        <v>0</v>
      </c>
    </row>
    <row r="24" spans="1:27" x14ac:dyDescent="0.3">
      <c r="Q24" t="s">
        <v>1</v>
      </c>
      <c r="R24" t="s">
        <v>2</v>
      </c>
      <c r="S24" t="s">
        <v>3</v>
      </c>
      <c r="T24" t="s">
        <v>4</v>
      </c>
      <c r="U24" t="s">
        <v>5</v>
      </c>
      <c r="V24" t="s">
        <v>6</v>
      </c>
      <c r="W24" t="s">
        <v>4</v>
      </c>
      <c r="X24" t="s">
        <v>7</v>
      </c>
      <c r="Y24" t="s">
        <v>4</v>
      </c>
      <c r="Z24" t="s">
        <v>8</v>
      </c>
      <c r="AA24" t="s">
        <v>4</v>
      </c>
    </row>
    <row r="25" spans="1:27" x14ac:dyDescent="0.3">
      <c r="B25">
        <v>0</v>
      </c>
      <c r="Q25" s="1">
        <v>4.7E-2</v>
      </c>
      <c r="R25">
        <v>1000</v>
      </c>
      <c r="S25" s="1">
        <v>3.477623E-12</v>
      </c>
      <c r="T25" s="1">
        <v>1.048361E-11</v>
      </c>
      <c r="U25">
        <v>181</v>
      </c>
      <c r="V25" s="1">
        <v>0.18099999999999999</v>
      </c>
      <c r="W25" s="1">
        <v>0.51234900000000005</v>
      </c>
      <c r="X25" s="1">
        <v>9.0080730000000001E-3</v>
      </c>
      <c r="Y25" s="1">
        <v>5.5108550000000005E-4</v>
      </c>
      <c r="Z25" s="1">
        <v>5.9260119999999996E-3</v>
      </c>
      <c r="AA25" s="1">
        <v>9.7730650000000001E-4</v>
      </c>
    </row>
    <row r="26" spans="1:27" x14ac:dyDescent="0.3">
      <c r="A26" s="1" t="s">
        <v>1</v>
      </c>
      <c r="B26" t="s">
        <v>2</v>
      </c>
      <c r="C26" s="1" t="s">
        <v>3</v>
      </c>
      <c r="D26" s="1" t="s">
        <v>4</v>
      </c>
      <c r="E26" t="s">
        <v>5</v>
      </c>
      <c r="F26" s="1" t="s">
        <v>6</v>
      </c>
      <c r="G26" s="1" t="s">
        <v>4</v>
      </c>
      <c r="H26" s="1" t="s">
        <v>7</v>
      </c>
      <c r="I26" s="1" t="s">
        <v>4</v>
      </c>
      <c r="J26" s="1" t="s">
        <v>8</v>
      </c>
      <c r="K26" s="1" t="s">
        <v>4</v>
      </c>
      <c r="Q26" s="1"/>
      <c r="S26" s="1"/>
      <c r="T26" s="1"/>
      <c r="V26" s="1"/>
      <c r="W26" s="1"/>
      <c r="X26" s="1"/>
      <c r="Y26" s="1"/>
      <c r="Z26" s="1"/>
      <c r="AA26" s="1"/>
    </row>
    <row r="27" spans="1:27" x14ac:dyDescent="0.3">
      <c r="A27" s="1">
        <v>4.7E-2</v>
      </c>
      <c r="B27">
        <v>1000</v>
      </c>
      <c r="C27" s="1">
        <v>3.4004690000000002E-12</v>
      </c>
      <c r="D27" s="1">
        <v>1.0374019999999999E-11</v>
      </c>
      <c r="E27">
        <v>164</v>
      </c>
      <c r="F27" s="1">
        <v>0.16400000000000001</v>
      </c>
      <c r="G27" s="1">
        <v>0.49330249999999998</v>
      </c>
      <c r="H27" s="1">
        <v>1.843894E-3</v>
      </c>
      <c r="I27" s="1">
        <v>2.2960649999999999E-4</v>
      </c>
      <c r="J27" s="1">
        <v>5.7235300000000001E-3</v>
      </c>
      <c r="K27" s="1">
        <v>9.5743819999999998E-4</v>
      </c>
      <c r="Q27" t="s">
        <v>9</v>
      </c>
    </row>
    <row r="28" spans="1:27" x14ac:dyDescent="0.3">
      <c r="A28" s="1"/>
      <c r="C28" s="1"/>
      <c r="D28" s="1"/>
      <c r="F28" s="1"/>
      <c r="G28" s="1"/>
      <c r="H28" s="1"/>
      <c r="I28" s="1"/>
      <c r="J28" s="1"/>
      <c r="K28" s="1"/>
      <c r="Q28" s="1"/>
      <c r="S28" s="1"/>
      <c r="T28" s="1"/>
      <c r="V28" s="1"/>
      <c r="W28" s="1"/>
      <c r="X28" s="1"/>
      <c r="Y28" s="1"/>
      <c r="Z28" s="1"/>
      <c r="AA28" s="1"/>
    </row>
    <row r="29" spans="1:27" x14ac:dyDescent="0.3">
      <c r="A29" t="s">
        <v>9</v>
      </c>
    </row>
    <row r="30" spans="1:27" x14ac:dyDescent="0.3">
      <c r="R30">
        <v>0</v>
      </c>
    </row>
    <row r="31" spans="1:27" x14ac:dyDescent="0.3">
      <c r="Q31" t="s">
        <v>1</v>
      </c>
      <c r="R31" t="s">
        <v>2</v>
      </c>
      <c r="S31" t="s">
        <v>3</v>
      </c>
      <c r="T31" t="s">
        <v>4</v>
      </c>
      <c r="U31" t="s">
        <v>5</v>
      </c>
      <c r="V31" t="s">
        <v>6</v>
      </c>
      <c r="W31" t="s">
        <v>4</v>
      </c>
      <c r="X31" t="s">
        <v>7</v>
      </c>
      <c r="Y31" t="s">
        <v>4</v>
      </c>
      <c r="Z31" t="s">
        <v>8</v>
      </c>
      <c r="AA31" t="s">
        <v>4</v>
      </c>
    </row>
    <row r="32" spans="1:27" x14ac:dyDescent="0.3">
      <c r="B32">
        <v>0</v>
      </c>
      <c r="Q32" s="1">
        <v>4.7E-2</v>
      </c>
      <c r="R32">
        <v>1000</v>
      </c>
      <c r="S32" s="1">
        <v>2.9342350000000002E-12</v>
      </c>
      <c r="T32" s="1">
        <v>9.4210920000000001E-12</v>
      </c>
      <c r="U32">
        <v>166</v>
      </c>
      <c r="V32" s="1">
        <v>0.16600000000000001</v>
      </c>
      <c r="W32" s="1">
        <v>0.47104760000000001</v>
      </c>
      <c r="X32" s="1">
        <v>9.3021260000000008E-3</v>
      </c>
      <c r="Y32" s="1">
        <v>5.5536650000000002E-4</v>
      </c>
      <c r="Z32" s="1">
        <v>5.8812869999999998E-3</v>
      </c>
      <c r="AA32" s="1">
        <v>9.6311719999999995E-4</v>
      </c>
    </row>
    <row r="33" spans="1:27" x14ac:dyDescent="0.3">
      <c r="A33" s="1" t="s">
        <v>1</v>
      </c>
      <c r="B33" t="s">
        <v>2</v>
      </c>
      <c r="C33" s="1" t="s">
        <v>3</v>
      </c>
      <c r="D33" s="1" t="s">
        <v>4</v>
      </c>
      <c r="E33" t="s">
        <v>5</v>
      </c>
      <c r="F33" s="1" t="s">
        <v>6</v>
      </c>
      <c r="G33" s="1" t="s">
        <v>4</v>
      </c>
      <c r="H33" s="1" t="s">
        <v>7</v>
      </c>
      <c r="I33" s="1" t="s">
        <v>4</v>
      </c>
      <c r="J33" s="1" t="s">
        <v>8</v>
      </c>
      <c r="K33" s="1" t="s">
        <v>4</v>
      </c>
      <c r="Q33" s="1"/>
      <c r="S33" s="1"/>
      <c r="T33" s="1"/>
      <c r="V33" s="1"/>
      <c r="W33" s="1"/>
      <c r="X33" s="1"/>
      <c r="Y33" s="1"/>
      <c r="Z33" s="1"/>
      <c r="AA33" s="1"/>
    </row>
    <row r="34" spans="1:27" x14ac:dyDescent="0.3">
      <c r="A34" s="1">
        <v>4.7E-2</v>
      </c>
      <c r="B34">
        <v>1000</v>
      </c>
      <c r="C34" s="1">
        <v>3.4118989999999999E-12</v>
      </c>
      <c r="D34" s="1">
        <v>1.080551E-11</v>
      </c>
      <c r="E34">
        <v>168</v>
      </c>
      <c r="F34" s="1">
        <v>0.16800000000000001</v>
      </c>
      <c r="G34" s="1">
        <v>0.51120670000000001</v>
      </c>
      <c r="H34" s="1">
        <v>1.8688839999999999E-3</v>
      </c>
      <c r="I34" s="1">
        <v>6.3609919999999996E-4</v>
      </c>
      <c r="J34" s="1">
        <v>6.0897319999999996E-3</v>
      </c>
      <c r="K34" s="1">
        <v>1.081519E-3</v>
      </c>
      <c r="Q34" t="s">
        <v>9</v>
      </c>
    </row>
    <row r="35" spans="1:27" x14ac:dyDescent="0.3">
      <c r="A35" s="1"/>
      <c r="C35" s="1"/>
      <c r="D35" s="1"/>
      <c r="F35" s="1"/>
      <c r="G35" s="1"/>
      <c r="H35" s="1"/>
      <c r="I35" s="1"/>
      <c r="J35" s="1"/>
      <c r="K35" s="1"/>
      <c r="Q35" s="1"/>
      <c r="S35" s="1"/>
      <c r="T35" s="1"/>
      <c r="V35" s="1"/>
      <c r="W35" s="1"/>
      <c r="X35" s="1"/>
      <c r="Y35" s="1"/>
      <c r="Z35" s="1"/>
      <c r="AA35" s="1"/>
    </row>
    <row r="36" spans="1:27" x14ac:dyDescent="0.3">
      <c r="A36" s="1" t="s">
        <v>9</v>
      </c>
      <c r="C36" s="1"/>
      <c r="D36" s="1"/>
      <c r="F36" s="1"/>
      <c r="G36" s="1"/>
      <c r="H36" s="1"/>
      <c r="I36" s="1"/>
      <c r="J36" s="1"/>
      <c r="K36" s="1"/>
      <c r="Q36" s="1"/>
      <c r="R36">
        <v>0</v>
      </c>
      <c r="S36" s="1"/>
      <c r="T36" s="1"/>
      <c r="V36" s="1"/>
      <c r="W36" s="1"/>
      <c r="X36" s="1"/>
      <c r="Y36" s="1"/>
      <c r="Z36" s="1"/>
      <c r="AA36" s="1"/>
    </row>
    <row r="37" spans="1:27" x14ac:dyDescent="0.3">
      <c r="Q37" t="s">
        <v>1</v>
      </c>
      <c r="R37" t="s">
        <v>2</v>
      </c>
      <c r="S37" t="s">
        <v>3</v>
      </c>
      <c r="T37" t="s">
        <v>4</v>
      </c>
      <c r="U37" t="s">
        <v>5</v>
      </c>
      <c r="V37" t="s">
        <v>6</v>
      </c>
      <c r="W37" t="s">
        <v>4</v>
      </c>
      <c r="X37" t="s">
        <v>7</v>
      </c>
      <c r="Y37" t="s">
        <v>4</v>
      </c>
      <c r="Z37" t="s">
        <v>8</v>
      </c>
      <c r="AA37" t="s">
        <v>4</v>
      </c>
    </row>
    <row r="38" spans="1:27" x14ac:dyDescent="0.3">
      <c r="Q38" s="1">
        <v>4.7E-2</v>
      </c>
      <c r="R38">
        <v>1000</v>
      </c>
      <c r="S38" s="1">
        <v>1.7897090000000001E-12</v>
      </c>
      <c r="T38" s="1">
        <v>7.5132700000000008E-12</v>
      </c>
      <c r="U38">
        <v>94</v>
      </c>
      <c r="V38" s="1">
        <v>9.4E-2</v>
      </c>
      <c r="W38" s="1">
        <v>0.3732336</v>
      </c>
      <c r="X38" s="1">
        <v>9.2601980000000007E-3</v>
      </c>
      <c r="Y38" s="1">
        <v>5.4140619999999999E-4</v>
      </c>
      <c r="Z38" s="1">
        <v>5.8932139999999999E-3</v>
      </c>
      <c r="AA38" s="1">
        <v>9.933295E-4</v>
      </c>
    </row>
    <row r="39" spans="1:27" x14ac:dyDescent="0.3">
      <c r="B39">
        <v>0</v>
      </c>
    </row>
    <row r="40" spans="1:27" x14ac:dyDescent="0.3">
      <c r="A40" s="1" t="s">
        <v>1</v>
      </c>
      <c r="B40" t="s">
        <v>2</v>
      </c>
      <c r="C40" s="1" t="s">
        <v>3</v>
      </c>
      <c r="D40" s="1" t="s">
        <v>4</v>
      </c>
      <c r="E40" t="s">
        <v>5</v>
      </c>
      <c r="F40" s="1" t="s">
        <v>6</v>
      </c>
      <c r="G40" s="1" t="s">
        <v>4</v>
      </c>
      <c r="H40" s="1" t="s">
        <v>7</v>
      </c>
      <c r="I40" s="1" t="s">
        <v>4</v>
      </c>
      <c r="J40" s="1" t="s">
        <v>8</v>
      </c>
      <c r="K40" s="1" t="s">
        <v>4</v>
      </c>
      <c r="Q40" s="1" t="s">
        <v>9</v>
      </c>
      <c r="S40" s="1"/>
      <c r="T40" s="1"/>
      <c r="V40" s="1"/>
      <c r="W40" s="1"/>
      <c r="X40" s="1"/>
      <c r="Y40" s="1"/>
      <c r="Z40" s="1"/>
      <c r="AA40" s="1"/>
    </row>
    <row r="41" spans="1:27" x14ac:dyDescent="0.3">
      <c r="A41" s="1">
        <v>4.7E-2</v>
      </c>
      <c r="B41">
        <v>1000</v>
      </c>
      <c r="C41" s="1">
        <v>1.765575E-12</v>
      </c>
      <c r="D41" s="1">
        <v>7.9224660000000004E-12</v>
      </c>
      <c r="E41">
        <v>93</v>
      </c>
      <c r="F41" s="1">
        <v>9.2999999999999999E-2</v>
      </c>
      <c r="G41" s="1">
        <v>0.36672260000000001</v>
      </c>
      <c r="H41" s="1">
        <v>1.847226E-3</v>
      </c>
      <c r="I41" s="1">
        <v>2.205458E-4</v>
      </c>
      <c r="J41" s="1">
        <v>5.8831839999999996E-3</v>
      </c>
      <c r="K41" s="1">
        <v>1.0042779999999999E-3</v>
      </c>
    </row>
    <row r="42" spans="1:27" x14ac:dyDescent="0.3">
      <c r="A42" s="1"/>
      <c r="C42" s="1"/>
      <c r="D42" s="1"/>
      <c r="F42" s="1"/>
      <c r="G42" s="1"/>
      <c r="H42" s="1"/>
      <c r="I42" s="1"/>
      <c r="J42" s="1"/>
      <c r="K42" s="1"/>
      <c r="Q42" s="1"/>
      <c r="S42" s="1"/>
      <c r="T42" s="1"/>
      <c r="V42" s="1"/>
      <c r="W42" s="1"/>
      <c r="X42" s="1"/>
      <c r="Y42" s="1"/>
      <c r="Z42" s="1"/>
      <c r="AA42" s="1"/>
    </row>
    <row r="43" spans="1:27" x14ac:dyDescent="0.3">
      <c r="A43" s="1" t="s">
        <v>9</v>
      </c>
      <c r="C43" s="1"/>
      <c r="D43" s="1"/>
      <c r="F43" s="1"/>
      <c r="G43" s="1"/>
      <c r="H43" s="1"/>
      <c r="I43" s="1"/>
      <c r="J43" s="1"/>
      <c r="K43" s="1"/>
      <c r="Q43" s="1"/>
      <c r="R43">
        <v>0</v>
      </c>
      <c r="S43" s="1"/>
      <c r="T43" s="1"/>
      <c r="V43" s="1"/>
      <c r="W43" s="1"/>
      <c r="X43" s="1"/>
      <c r="Y43" s="1"/>
      <c r="Z43" s="1"/>
      <c r="AA43" s="1"/>
    </row>
    <row r="44" spans="1:27" x14ac:dyDescent="0.3">
      <c r="Q44" t="s">
        <v>1</v>
      </c>
      <c r="R44" t="s">
        <v>2</v>
      </c>
      <c r="S44" t="s">
        <v>3</v>
      </c>
      <c r="T44" t="s">
        <v>4</v>
      </c>
      <c r="U44" t="s">
        <v>5</v>
      </c>
      <c r="V44" t="s">
        <v>6</v>
      </c>
      <c r="W44" t="s">
        <v>4</v>
      </c>
      <c r="X44" t="s">
        <v>7</v>
      </c>
      <c r="Y44" t="s">
        <v>4</v>
      </c>
      <c r="Z44" t="s">
        <v>8</v>
      </c>
      <c r="AA44" t="s">
        <v>4</v>
      </c>
    </row>
    <row r="45" spans="1:27" x14ac:dyDescent="0.3">
      <c r="Q45" s="1">
        <v>4.7E-2</v>
      </c>
      <c r="R45">
        <v>1000</v>
      </c>
      <c r="S45" s="1">
        <v>1.2312189999999999E-12</v>
      </c>
      <c r="T45" s="1">
        <v>6.9310189999999999E-12</v>
      </c>
      <c r="U45">
        <v>64</v>
      </c>
      <c r="V45" s="1">
        <v>6.4000000000000001E-2</v>
      </c>
      <c r="W45" s="1">
        <v>0.3089846</v>
      </c>
      <c r="X45" s="1">
        <v>8.9778070000000008E-3</v>
      </c>
      <c r="Y45" s="1">
        <v>5.6354650000000001E-4</v>
      </c>
      <c r="Z45" s="1">
        <v>6.0688599999999997E-3</v>
      </c>
      <c r="AA45" s="1">
        <v>9.9422060000000007E-4</v>
      </c>
    </row>
    <row r="46" spans="1:27" x14ac:dyDescent="0.3">
      <c r="B46">
        <v>0</v>
      </c>
    </row>
    <row r="47" spans="1:27" x14ac:dyDescent="0.3">
      <c r="A47" s="1" t="s">
        <v>1</v>
      </c>
      <c r="B47" t="s">
        <v>2</v>
      </c>
      <c r="C47" s="1" t="s">
        <v>3</v>
      </c>
      <c r="D47" s="1" t="s">
        <v>4</v>
      </c>
      <c r="E47" t="s">
        <v>5</v>
      </c>
      <c r="F47" s="1" t="s">
        <v>6</v>
      </c>
      <c r="G47" s="1" t="s">
        <v>4</v>
      </c>
      <c r="H47" s="1" t="s">
        <v>7</v>
      </c>
      <c r="I47" s="1" t="s">
        <v>4</v>
      </c>
      <c r="J47" s="1" t="s">
        <v>8</v>
      </c>
      <c r="K47" s="1" t="s">
        <v>4</v>
      </c>
      <c r="Q47" s="1"/>
      <c r="S47" s="1"/>
      <c r="T47" s="1"/>
      <c r="V47" s="1"/>
      <c r="W47" s="1"/>
      <c r="X47" s="1"/>
      <c r="Y47" s="1"/>
      <c r="Z47" s="1"/>
      <c r="AA47" s="1"/>
    </row>
    <row r="48" spans="1:27" x14ac:dyDescent="0.3">
      <c r="A48" s="1">
        <v>4.7E-2</v>
      </c>
      <c r="B48">
        <v>1000</v>
      </c>
      <c r="C48" s="1">
        <v>1.0680419999999999E-12</v>
      </c>
      <c r="D48" s="1">
        <v>6.3831170000000003E-12</v>
      </c>
      <c r="E48">
        <v>63</v>
      </c>
      <c r="F48" s="1">
        <v>6.3E-2</v>
      </c>
      <c r="G48" s="1">
        <v>0.30305579999999999</v>
      </c>
      <c r="H48" s="1">
        <v>1.8102960000000001E-3</v>
      </c>
      <c r="I48" s="1">
        <v>2.007883E-4</v>
      </c>
      <c r="J48" s="1">
        <v>5.8826420000000004E-3</v>
      </c>
      <c r="K48" s="1">
        <v>9.4407499999999995E-4</v>
      </c>
    </row>
    <row r="49" spans="1:27" x14ac:dyDescent="0.3">
      <c r="A49" s="1"/>
      <c r="C49" s="1"/>
      <c r="D49" s="1"/>
      <c r="F49" s="1"/>
      <c r="G49" s="1"/>
      <c r="H49" s="1"/>
      <c r="I49" s="1"/>
      <c r="J49" s="1"/>
      <c r="K49" s="1"/>
      <c r="Q49" s="1"/>
      <c r="S49" s="1"/>
      <c r="T49" s="1"/>
      <c r="V49" s="1"/>
      <c r="W49" s="1"/>
      <c r="X49" s="1"/>
      <c r="Y49" s="1"/>
      <c r="Z49" s="1"/>
      <c r="AA49" s="1"/>
    </row>
    <row r="50" spans="1:27" x14ac:dyDescent="0.3">
      <c r="A50" s="1"/>
      <c r="C50" s="1"/>
      <c r="D50" s="1"/>
      <c r="F50" s="1"/>
      <c r="G50" s="1"/>
      <c r="H50" s="1"/>
      <c r="I50" s="1"/>
      <c r="J50" s="1"/>
      <c r="K50" s="1"/>
      <c r="Q50" s="1"/>
      <c r="S50" s="1"/>
      <c r="T50" s="1"/>
      <c r="V50" s="1"/>
      <c r="W50" s="1"/>
      <c r="X50" s="1"/>
      <c r="Y50" s="1"/>
      <c r="Z50" s="1"/>
      <c r="AA50" s="1"/>
    </row>
    <row r="54" spans="1:27" x14ac:dyDescent="0.3">
      <c r="A54" s="1"/>
      <c r="C54" s="1"/>
      <c r="D54" s="1"/>
      <c r="F54" s="1"/>
      <c r="G54" s="1"/>
      <c r="H54" s="1"/>
      <c r="I54" s="1"/>
      <c r="J54" s="1"/>
      <c r="K54" s="1"/>
      <c r="Q54" s="1"/>
      <c r="S54" s="1"/>
      <c r="T54" s="1"/>
      <c r="V54" s="1"/>
      <c r="W54" s="1"/>
      <c r="X54" s="1"/>
      <c r="Y54" s="1"/>
      <c r="Z54" s="1"/>
      <c r="AA54" s="1"/>
    </row>
    <row r="56" spans="1:27" x14ac:dyDescent="0.3">
      <c r="A56" s="1"/>
      <c r="C56" s="1"/>
      <c r="D56" s="1"/>
      <c r="F56" s="1"/>
      <c r="G56" s="1"/>
      <c r="H56" s="1"/>
      <c r="I56" s="1"/>
      <c r="J56" s="1"/>
      <c r="K56" s="1"/>
      <c r="Q56" s="1"/>
      <c r="S56" s="1"/>
      <c r="T56" s="1"/>
      <c r="V56" s="1"/>
      <c r="W56" s="1"/>
      <c r="X56" s="1"/>
      <c r="Y56" s="1"/>
      <c r="Z56" s="1"/>
      <c r="AA56" s="1"/>
    </row>
    <row r="57" spans="1:27" x14ac:dyDescent="0.3">
      <c r="A57" s="1"/>
      <c r="C57" s="1"/>
      <c r="D57" s="1"/>
      <c r="F57" s="1"/>
      <c r="G57" s="1"/>
      <c r="H57" s="1"/>
      <c r="I57" s="1"/>
      <c r="J57" s="1"/>
      <c r="K57" s="1"/>
      <c r="Q57" s="1"/>
      <c r="S57" s="1"/>
      <c r="T57" s="1"/>
      <c r="V57" s="1"/>
      <c r="W57" s="1"/>
      <c r="X57" s="1"/>
      <c r="Y57" s="1"/>
      <c r="Z57" s="1"/>
      <c r="AA57" s="1"/>
    </row>
    <row r="61" spans="1:27" x14ac:dyDescent="0.3">
      <c r="A61" s="1"/>
      <c r="C61" s="1"/>
      <c r="D61" s="1"/>
      <c r="F61" s="1"/>
      <c r="G61" s="1"/>
      <c r="H61" s="1"/>
      <c r="I61" s="1"/>
      <c r="J61" s="1"/>
      <c r="K61" s="1"/>
      <c r="Q61" s="1"/>
      <c r="S61" s="1"/>
      <c r="T61" s="1"/>
      <c r="V61" s="1"/>
      <c r="W61" s="1"/>
      <c r="X61" s="1"/>
      <c r="Y61" s="1"/>
      <c r="Z61" s="1"/>
      <c r="AA61" s="1"/>
    </row>
    <row r="63" spans="1:27" x14ac:dyDescent="0.3">
      <c r="A63" s="1"/>
      <c r="C63" s="1"/>
      <c r="D63" s="1"/>
      <c r="F63" s="1"/>
      <c r="G63" s="1"/>
      <c r="H63" s="1"/>
      <c r="I63" s="1"/>
      <c r="J63" s="1"/>
      <c r="K63" s="1"/>
      <c r="Q63" s="1"/>
      <c r="S63" s="1"/>
      <c r="T63" s="1"/>
      <c r="V63" s="1"/>
      <c r="W63" s="1"/>
      <c r="X63" s="1"/>
      <c r="Y63" s="1"/>
      <c r="Z63" s="1"/>
      <c r="AA63" s="1"/>
    </row>
    <row r="64" spans="1:27" x14ac:dyDescent="0.3">
      <c r="A64" s="1"/>
      <c r="C64" s="1"/>
      <c r="D64" s="1"/>
      <c r="F64" s="1"/>
      <c r="G64" s="1"/>
      <c r="H64" s="1"/>
      <c r="I64" s="1"/>
      <c r="J64" s="1"/>
      <c r="K64" s="1"/>
      <c r="Q64" s="1"/>
      <c r="S64" s="1"/>
      <c r="T64" s="1"/>
      <c r="V64" s="1"/>
      <c r="W64" s="1"/>
      <c r="X64" s="1"/>
      <c r="Y64" s="1"/>
      <c r="Z64" s="1"/>
      <c r="AA64" s="1"/>
    </row>
    <row r="68" spans="1:27" x14ac:dyDescent="0.3">
      <c r="A68" s="1"/>
      <c r="C68" s="1"/>
      <c r="D68" s="1"/>
      <c r="F68" s="1"/>
      <c r="G68" s="1"/>
      <c r="H68" s="1"/>
      <c r="I68" s="1"/>
      <c r="J68" s="1"/>
      <c r="K68" s="1"/>
      <c r="Q68" s="1"/>
      <c r="S68" s="1"/>
      <c r="T68" s="1"/>
      <c r="V68" s="1"/>
      <c r="W68" s="1"/>
      <c r="X68" s="1"/>
      <c r="Y68" s="1"/>
      <c r="Z68" s="1"/>
      <c r="AA68" s="1"/>
    </row>
    <row r="70" spans="1:27" x14ac:dyDescent="0.3">
      <c r="A70" s="1"/>
      <c r="C70" s="1"/>
      <c r="D70" s="1"/>
      <c r="F70" s="1"/>
      <c r="G70" s="1"/>
      <c r="H70" s="1"/>
      <c r="I70" s="1"/>
      <c r="J70" s="1"/>
      <c r="K70" s="1"/>
      <c r="Q70" s="1"/>
      <c r="S70" s="1"/>
      <c r="T70" s="1"/>
      <c r="V70" s="1"/>
      <c r="W70" s="1"/>
      <c r="X70" s="1"/>
      <c r="Y70" s="1"/>
      <c r="Z70" s="1"/>
      <c r="AA70" s="1"/>
    </row>
    <row r="71" spans="1:27" x14ac:dyDescent="0.3">
      <c r="A71" s="1"/>
      <c r="C71" s="1"/>
      <c r="D71" s="1"/>
      <c r="F71" s="1"/>
      <c r="G71" s="1"/>
      <c r="H71" s="1"/>
      <c r="I71" s="1"/>
      <c r="J71" s="1"/>
      <c r="K71" s="1"/>
      <c r="Q71" s="1"/>
      <c r="S71" s="1"/>
      <c r="T71" s="1"/>
      <c r="V71" s="1"/>
      <c r="W71" s="1"/>
      <c r="X71" s="1"/>
      <c r="Y71" s="1"/>
      <c r="Z71" s="1"/>
      <c r="AA71" s="1"/>
    </row>
    <row r="75" spans="1:27" x14ac:dyDescent="0.3">
      <c r="A75" s="1"/>
      <c r="C75" s="1"/>
      <c r="D75" s="1"/>
      <c r="F75" s="1"/>
      <c r="G75" s="1"/>
      <c r="H75" s="1"/>
      <c r="I75" s="1"/>
      <c r="J75" s="1"/>
      <c r="K75" s="1"/>
      <c r="Q75" s="1"/>
      <c r="S75" s="1"/>
      <c r="T75" s="1"/>
      <c r="V75" s="1"/>
      <c r="W75" s="1"/>
      <c r="X75" s="1"/>
      <c r="Y75" s="1"/>
      <c r="Z75" s="1"/>
      <c r="AA75" s="1"/>
    </row>
    <row r="77" spans="1:27" x14ac:dyDescent="0.3">
      <c r="A77" s="1"/>
      <c r="C77" s="1"/>
      <c r="D77" s="1"/>
      <c r="F77" s="1"/>
      <c r="G77" s="1"/>
      <c r="H77" s="1"/>
      <c r="I77" s="1"/>
      <c r="J77" s="1"/>
      <c r="K77" s="1"/>
      <c r="Q77" s="1"/>
      <c r="S77" s="1"/>
      <c r="T77" s="1"/>
      <c r="V77" s="1"/>
      <c r="W77" s="1"/>
      <c r="X77" s="1"/>
      <c r="Y77" s="1"/>
      <c r="Z77" s="1"/>
      <c r="AA77" s="1"/>
    </row>
    <row r="78" spans="1:27" x14ac:dyDescent="0.3">
      <c r="A78" s="1"/>
      <c r="C78" s="1"/>
      <c r="D78" s="1"/>
      <c r="F78" s="1"/>
      <c r="G78" s="1"/>
      <c r="H78" s="1"/>
      <c r="I78" s="1"/>
      <c r="J78" s="1"/>
      <c r="K78" s="1"/>
      <c r="Q78" s="1"/>
      <c r="S78" s="1"/>
      <c r="T78" s="1"/>
      <c r="V78" s="1"/>
      <c r="W78" s="1"/>
      <c r="X78" s="1"/>
      <c r="Y78" s="1"/>
      <c r="Z78" s="1"/>
      <c r="AA78" s="1"/>
    </row>
    <row r="82" spans="1:27" x14ac:dyDescent="0.3">
      <c r="Q82" s="1"/>
      <c r="S82" s="1"/>
      <c r="T82" s="1"/>
      <c r="V82" s="1"/>
      <c r="W82" s="1"/>
      <c r="X82" s="1"/>
      <c r="Y82" s="1"/>
      <c r="Z82" s="1"/>
      <c r="AA82" s="1"/>
    </row>
    <row r="84" spans="1:27" x14ac:dyDescent="0.3">
      <c r="A84" s="1"/>
      <c r="C84" s="1"/>
      <c r="D84" s="1"/>
      <c r="F84" s="1"/>
      <c r="G84" s="1"/>
      <c r="H84" s="1"/>
      <c r="I84" s="1"/>
      <c r="J84" s="1"/>
      <c r="K84" s="1"/>
      <c r="Q84" s="1"/>
      <c r="S84" s="1"/>
      <c r="T84" s="1"/>
      <c r="V84" s="1"/>
      <c r="W84" s="1"/>
      <c r="X84" s="1"/>
      <c r="Y84" s="1"/>
      <c r="Z84" s="1"/>
      <c r="AA84" s="1"/>
    </row>
    <row r="85" spans="1:27" x14ac:dyDescent="0.3">
      <c r="Q85" s="1"/>
      <c r="S85" s="1"/>
      <c r="T85" s="1"/>
      <c r="V85" s="1"/>
      <c r="W85" s="1"/>
      <c r="X85" s="1"/>
      <c r="Y85" s="1"/>
      <c r="Z85" s="1"/>
      <c r="AA85" s="1"/>
    </row>
    <row r="87" spans="1:27" x14ac:dyDescent="0.3">
      <c r="A87" s="1"/>
      <c r="C87" s="1"/>
      <c r="D87" s="1"/>
      <c r="F87" s="1"/>
      <c r="G87" s="1"/>
      <c r="H87" s="1"/>
      <c r="I87" s="1"/>
      <c r="J87" s="1"/>
      <c r="K87" s="1"/>
    </row>
    <row r="88" spans="1:27" x14ac:dyDescent="0.3">
      <c r="A88" s="1"/>
      <c r="C88" s="1"/>
      <c r="D88" s="1"/>
      <c r="F88" s="1"/>
      <c r="G88" s="1"/>
      <c r="H88" s="1"/>
      <c r="I88" s="1"/>
      <c r="J88" s="1"/>
      <c r="K88" s="1"/>
    </row>
    <row r="91" spans="1:27" x14ac:dyDescent="0.3">
      <c r="A91" s="1"/>
      <c r="C91" s="1"/>
      <c r="D91" s="1"/>
      <c r="F91" s="1"/>
      <c r="G91" s="1"/>
      <c r="H91" s="1"/>
      <c r="I91" s="1"/>
      <c r="J91" s="1"/>
      <c r="K91" s="1"/>
    </row>
    <row r="92" spans="1:27" x14ac:dyDescent="0.3">
      <c r="Q92" s="1"/>
      <c r="S92" s="1"/>
      <c r="T92" s="1"/>
      <c r="V92" s="1"/>
      <c r="W92" s="1"/>
      <c r="X92" s="1"/>
      <c r="Y92" s="1"/>
      <c r="Z92" s="1"/>
      <c r="AA92" s="1"/>
    </row>
    <row r="94" spans="1:27" x14ac:dyDescent="0.3">
      <c r="A94" s="1"/>
      <c r="C94" s="1"/>
      <c r="D94" s="1"/>
      <c r="F94" s="1"/>
      <c r="G94" s="1"/>
      <c r="H94" s="1"/>
      <c r="I94" s="1"/>
      <c r="J94" s="1"/>
      <c r="K94" s="1"/>
      <c r="Q94" s="1"/>
      <c r="S94" s="1"/>
      <c r="T94" s="1"/>
      <c r="V94" s="1"/>
      <c r="W94" s="1"/>
      <c r="X94" s="1"/>
      <c r="Y94" s="1"/>
      <c r="Z94" s="1"/>
      <c r="AA94" s="1"/>
    </row>
    <row r="95" spans="1:27" x14ac:dyDescent="0.3">
      <c r="A95" s="1"/>
      <c r="C95" s="1"/>
      <c r="D95" s="1"/>
      <c r="F95" s="1"/>
      <c r="G95" s="1"/>
      <c r="H95" s="1"/>
      <c r="I95" s="1"/>
      <c r="J95" s="1"/>
      <c r="K95" s="1"/>
    </row>
    <row r="98" spans="1:27" x14ac:dyDescent="0.3">
      <c r="A98" s="1"/>
      <c r="C98" s="1"/>
      <c r="D98" s="1"/>
      <c r="F98" s="1"/>
      <c r="G98" s="1"/>
      <c r="H98" s="1"/>
      <c r="I98" s="1"/>
      <c r="J98" s="1"/>
      <c r="K98" s="1"/>
    </row>
    <row r="99" spans="1:27" x14ac:dyDescent="0.3">
      <c r="Q99" s="1"/>
      <c r="S99" s="1"/>
      <c r="T99" s="1"/>
      <c r="V99" s="1"/>
      <c r="W99" s="1"/>
      <c r="X99" s="1"/>
      <c r="Y99" s="1"/>
      <c r="Z99" s="1"/>
      <c r="AA99" s="1"/>
    </row>
    <row r="101" spans="1:27" x14ac:dyDescent="0.3">
      <c r="A101" s="1"/>
      <c r="C101" s="1"/>
      <c r="D101" s="1"/>
      <c r="F101" s="1"/>
      <c r="G101" s="1"/>
      <c r="H101" s="1"/>
      <c r="I101" s="1"/>
      <c r="J101" s="1"/>
      <c r="K101" s="1"/>
      <c r="Q101" s="1"/>
      <c r="S101" s="1"/>
      <c r="T101" s="1"/>
      <c r="V101" s="1"/>
      <c r="W101" s="1"/>
      <c r="X101" s="1"/>
      <c r="Y101" s="1"/>
      <c r="Z101" s="1"/>
      <c r="AA101" s="1"/>
    </row>
    <row r="102" spans="1:27" x14ac:dyDescent="0.3">
      <c r="A102" s="1"/>
      <c r="C102" s="1"/>
      <c r="D102" s="1"/>
      <c r="F102" s="1"/>
      <c r="G102" s="1"/>
      <c r="H102" s="1"/>
      <c r="I102" s="1"/>
      <c r="J102" s="1"/>
      <c r="K102" s="1"/>
    </row>
    <row r="105" spans="1:27" x14ac:dyDescent="0.3">
      <c r="A105" s="1"/>
      <c r="C105" s="1"/>
      <c r="D105" s="1"/>
      <c r="F105" s="1"/>
      <c r="G105" s="1"/>
      <c r="H105" s="1"/>
      <c r="I105" s="1"/>
      <c r="J105" s="1"/>
      <c r="K105" s="1"/>
    </row>
    <row r="106" spans="1:27" x14ac:dyDescent="0.3">
      <c r="Q106" s="1"/>
      <c r="S106" s="1"/>
      <c r="T106" s="1"/>
      <c r="V106" s="1"/>
      <c r="W106" s="1"/>
      <c r="X106" s="1"/>
      <c r="Y106" s="1"/>
      <c r="Z106" s="1"/>
      <c r="AA106" s="1"/>
    </row>
    <row r="108" spans="1:27" x14ac:dyDescent="0.3">
      <c r="A108" s="1"/>
      <c r="C108" s="1"/>
      <c r="D108" s="1"/>
      <c r="F108" s="1"/>
      <c r="G108" s="1"/>
      <c r="H108" s="1"/>
      <c r="I108" s="1"/>
      <c r="J108" s="1"/>
      <c r="K108" s="1"/>
    </row>
    <row r="112" spans="1:27" x14ac:dyDescent="0.3">
      <c r="A112" s="1"/>
      <c r="C112" s="1"/>
      <c r="D112" s="1"/>
      <c r="F112" s="1"/>
      <c r="G112" s="1"/>
      <c r="H112" s="1"/>
      <c r="I112" s="1"/>
      <c r="J112" s="1"/>
      <c r="K112" s="1"/>
    </row>
    <row r="113" spans="1:27" x14ac:dyDescent="0.3">
      <c r="Q113" s="1"/>
      <c r="S113" s="1"/>
      <c r="T113" s="1"/>
      <c r="V113" s="1"/>
      <c r="W113" s="1"/>
      <c r="X113" s="1"/>
      <c r="Y113" s="1"/>
      <c r="Z113" s="1"/>
      <c r="AA113" s="1"/>
    </row>
    <row r="114" spans="1:27" x14ac:dyDescent="0.3">
      <c r="Q114" s="1"/>
      <c r="S114" s="1"/>
      <c r="T114" s="1"/>
      <c r="V114" s="1"/>
      <c r="W114" s="1"/>
      <c r="X114" s="1"/>
      <c r="Y114" s="1"/>
      <c r="Z114" s="1"/>
      <c r="AA114" s="1"/>
    </row>
    <row r="115" spans="1:27" x14ac:dyDescent="0.3">
      <c r="A115" s="1"/>
      <c r="C115" s="1"/>
      <c r="D115" s="1"/>
      <c r="F115" s="1"/>
      <c r="G115" s="1"/>
      <c r="H115" s="1"/>
      <c r="I115" s="1"/>
      <c r="J115" s="1"/>
      <c r="K115" s="1"/>
    </row>
    <row r="119" spans="1:27" x14ac:dyDescent="0.3">
      <c r="A119" s="1"/>
      <c r="C119" s="1"/>
      <c r="D119" s="1"/>
      <c r="F119" s="1"/>
      <c r="G119" s="1"/>
      <c r="H119" s="1"/>
      <c r="I119" s="1"/>
      <c r="J119" s="1"/>
      <c r="K119" s="1"/>
    </row>
    <row r="120" spans="1:27" x14ac:dyDescent="0.3">
      <c r="Q120" s="1"/>
      <c r="S120" s="1"/>
      <c r="T120" s="1"/>
      <c r="V120" s="1"/>
      <c r="W120" s="1"/>
      <c r="X120" s="1"/>
      <c r="Y120" s="1"/>
      <c r="Z120" s="1"/>
      <c r="AA120" s="1"/>
    </row>
    <row r="121" spans="1:27" x14ac:dyDescent="0.3">
      <c r="Q121" s="1"/>
      <c r="S121" s="1"/>
      <c r="T121" s="1"/>
      <c r="V121" s="1"/>
      <c r="W121" s="1"/>
      <c r="X121" s="1"/>
      <c r="Y121" s="1"/>
      <c r="Z121" s="1"/>
      <c r="AA121" s="1"/>
    </row>
    <row r="122" spans="1:27" x14ac:dyDescent="0.3">
      <c r="A122" s="1"/>
      <c r="C122" s="1"/>
      <c r="D122" s="1"/>
      <c r="F122" s="1"/>
      <c r="G122" s="1"/>
      <c r="H122" s="1"/>
      <c r="I122" s="1"/>
      <c r="J122" s="1"/>
      <c r="K122" s="1"/>
    </row>
    <row r="126" spans="1:27" x14ac:dyDescent="0.3">
      <c r="A126" s="1"/>
      <c r="C126" s="1"/>
      <c r="D126" s="1"/>
      <c r="F126" s="1"/>
      <c r="G126" s="1"/>
      <c r="H126" s="1"/>
      <c r="I126" s="1"/>
      <c r="J126" s="1"/>
      <c r="K126" s="1"/>
    </row>
    <row r="127" spans="1:27" x14ac:dyDescent="0.3">
      <c r="Q127" s="1"/>
      <c r="S127" s="1"/>
      <c r="T127" s="1"/>
      <c r="V127" s="1"/>
      <c r="W127" s="1"/>
      <c r="X127" s="1"/>
      <c r="Y127" s="1"/>
      <c r="Z127" s="1"/>
      <c r="AA127" s="1"/>
    </row>
    <row r="128" spans="1:27" x14ac:dyDescent="0.3">
      <c r="Q128" s="1"/>
      <c r="S128" s="1"/>
      <c r="T128" s="1"/>
      <c r="V128" s="1"/>
      <c r="W128" s="1"/>
      <c r="X128" s="1"/>
      <c r="Y128" s="1"/>
      <c r="Z128" s="1"/>
      <c r="AA128" s="1"/>
    </row>
    <row r="129" spans="1:27" x14ac:dyDescent="0.3">
      <c r="A129" s="1"/>
      <c r="C129" s="1"/>
      <c r="D129" s="1"/>
      <c r="F129" s="1"/>
      <c r="G129" s="1"/>
      <c r="H129" s="1"/>
      <c r="I129" s="1"/>
      <c r="J129" s="1"/>
      <c r="K129" s="1"/>
    </row>
    <row r="134" spans="1:27" x14ac:dyDescent="0.3">
      <c r="Q134" s="1"/>
      <c r="S134" s="1"/>
      <c r="T134" s="1"/>
      <c r="V134" s="1"/>
      <c r="W134" s="1"/>
      <c r="X134" s="1"/>
      <c r="Y134" s="1"/>
      <c r="Z134" s="1"/>
      <c r="AA134" s="1"/>
    </row>
    <row r="135" spans="1:27" x14ac:dyDescent="0.3">
      <c r="Q135" s="1"/>
      <c r="S135" s="1"/>
      <c r="T135" s="1"/>
      <c r="V135" s="1"/>
      <c r="W135" s="1"/>
      <c r="X135" s="1"/>
      <c r="Y135" s="1"/>
      <c r="Z135" s="1"/>
      <c r="AA135" s="1"/>
    </row>
    <row r="136" spans="1:27" x14ac:dyDescent="0.3">
      <c r="A136" s="1"/>
      <c r="C136" s="1"/>
      <c r="D136" s="1"/>
      <c r="F136" s="1"/>
      <c r="G136" s="1"/>
      <c r="H136" s="1"/>
      <c r="I136" s="1"/>
      <c r="J136" s="1"/>
      <c r="K136" s="1"/>
    </row>
    <row r="141" spans="1:27" x14ac:dyDescent="0.3">
      <c r="Q141" s="1"/>
      <c r="S141" s="1"/>
      <c r="T141" s="1"/>
      <c r="V141" s="1"/>
      <c r="W141" s="1"/>
      <c r="X141" s="1"/>
      <c r="Y141" s="1"/>
      <c r="Z141" s="1"/>
      <c r="AA141" s="1"/>
    </row>
    <row r="142" spans="1:27" x14ac:dyDescent="0.3">
      <c r="Q142" s="1"/>
      <c r="S142" s="1"/>
      <c r="T142" s="1"/>
      <c r="V142" s="1"/>
      <c r="W142" s="1"/>
      <c r="X142" s="1"/>
      <c r="Y142" s="1"/>
      <c r="Z142" s="1"/>
      <c r="AA142" s="1"/>
    </row>
    <row r="143" spans="1:27" x14ac:dyDescent="0.3">
      <c r="A143" s="1"/>
      <c r="C143" s="1"/>
      <c r="D143" s="1"/>
      <c r="F143" s="1"/>
      <c r="G143" s="1"/>
      <c r="H143" s="1"/>
      <c r="I143" s="1"/>
      <c r="J143" s="1"/>
      <c r="K143" s="1"/>
    </row>
    <row r="149" spans="1:27" x14ac:dyDescent="0.3">
      <c r="Q149" s="1"/>
      <c r="S149" s="1"/>
      <c r="T149" s="1"/>
      <c r="V149" s="1"/>
      <c r="W149" s="1"/>
      <c r="X149" s="1"/>
      <c r="Y149" s="1"/>
      <c r="Z149" s="1"/>
      <c r="AA149" s="1"/>
    </row>
    <row r="150" spans="1:27" x14ac:dyDescent="0.3">
      <c r="A150" s="1"/>
      <c r="C150" s="1"/>
      <c r="D150" s="1"/>
      <c r="F150" s="1"/>
      <c r="G150" s="1"/>
      <c r="H150" s="1"/>
      <c r="I150" s="1"/>
      <c r="J150" s="1"/>
      <c r="K150" s="1"/>
    </row>
    <row r="151" spans="1:27" x14ac:dyDescent="0.3">
      <c r="Q151" s="1"/>
      <c r="S151" s="1"/>
      <c r="T151" s="1"/>
      <c r="V151" s="1"/>
      <c r="W151" s="1"/>
      <c r="X151" s="1"/>
      <c r="Y151" s="1"/>
      <c r="Z151" s="1"/>
      <c r="AA151" s="1"/>
    </row>
    <row r="153" spans="1:27" x14ac:dyDescent="0.3">
      <c r="A153" s="1"/>
      <c r="C153" s="1"/>
      <c r="D153" s="1"/>
      <c r="F153" s="1"/>
      <c r="G153" s="1"/>
      <c r="H153" s="1"/>
      <c r="I153" s="1"/>
      <c r="J153" s="1"/>
      <c r="K153" s="1"/>
    </row>
    <row r="156" spans="1:27" x14ac:dyDescent="0.3">
      <c r="Q156" s="1"/>
      <c r="S156" s="1"/>
      <c r="T156" s="1"/>
      <c r="V156" s="1"/>
      <c r="W156" s="1"/>
      <c r="X156" s="1"/>
      <c r="Y156" s="1"/>
      <c r="Z156" s="1"/>
      <c r="AA156" s="1"/>
    </row>
    <row r="157" spans="1:27" x14ac:dyDescent="0.3">
      <c r="A157" s="1"/>
      <c r="C157" s="1"/>
      <c r="D157" s="1"/>
      <c r="F157" s="1"/>
      <c r="G157" s="1"/>
      <c r="H157" s="1"/>
      <c r="I157" s="1"/>
      <c r="J157" s="1"/>
      <c r="K157" s="1"/>
    </row>
    <row r="158" spans="1:27" x14ac:dyDescent="0.3">
      <c r="Q158" s="1"/>
      <c r="S158" s="1"/>
      <c r="T158" s="1"/>
      <c r="V158" s="1"/>
      <c r="W158" s="1"/>
      <c r="X158" s="1"/>
      <c r="Y158" s="1"/>
      <c r="Z158" s="1"/>
      <c r="AA158" s="1"/>
    </row>
    <row r="160" spans="1:27" x14ac:dyDescent="0.3">
      <c r="A160" s="1"/>
      <c r="C160" s="1"/>
      <c r="D160" s="1"/>
      <c r="F160" s="1"/>
      <c r="G160" s="1"/>
      <c r="H160" s="1"/>
      <c r="I160" s="1"/>
      <c r="J160" s="1"/>
      <c r="K160" s="1"/>
    </row>
    <row r="163" spans="1:27" x14ac:dyDescent="0.3">
      <c r="Q163" s="1"/>
      <c r="S163" s="1"/>
      <c r="T163" s="1"/>
      <c r="V163" s="1"/>
      <c r="W163" s="1"/>
      <c r="X163" s="1"/>
      <c r="Y163" s="1"/>
      <c r="Z163" s="1"/>
      <c r="AA163" s="1"/>
    </row>
    <row r="164" spans="1:27" x14ac:dyDescent="0.3">
      <c r="A164" s="1"/>
      <c r="C164" s="1"/>
      <c r="D164" s="1"/>
      <c r="F164" s="1"/>
      <c r="G164" s="1"/>
      <c r="H164" s="1"/>
      <c r="I164" s="1"/>
      <c r="J164" s="1"/>
      <c r="K164" s="1"/>
    </row>
    <row r="165" spans="1:27" x14ac:dyDescent="0.3">
      <c r="Q165" s="1"/>
      <c r="S165" s="1"/>
      <c r="T165" s="1"/>
      <c r="V165" s="1"/>
      <c r="W165" s="1"/>
      <c r="X165" s="1"/>
      <c r="Y165" s="1"/>
      <c r="Z165" s="1"/>
      <c r="AA165" s="1"/>
    </row>
    <row r="167" spans="1:27" x14ac:dyDescent="0.3">
      <c r="A167" s="1"/>
      <c r="C167" s="1"/>
      <c r="D167" s="1"/>
      <c r="F167" s="1"/>
      <c r="G167" s="1"/>
      <c r="H167" s="1"/>
      <c r="I167" s="1"/>
      <c r="J167" s="1"/>
      <c r="K167" s="1"/>
    </row>
    <row r="171" spans="1:27" x14ac:dyDescent="0.3">
      <c r="A171" s="1"/>
      <c r="C171" s="1"/>
      <c r="D171" s="1"/>
      <c r="F171" s="1"/>
      <c r="G171" s="1"/>
      <c r="H171" s="1"/>
      <c r="I171" s="1"/>
      <c r="J171" s="1"/>
      <c r="K171" s="1"/>
    </row>
    <row r="172" spans="1:27" x14ac:dyDescent="0.3">
      <c r="Q172" s="1"/>
      <c r="S172" s="1"/>
      <c r="T172" s="1"/>
      <c r="V172" s="1"/>
      <c r="W172" s="1"/>
      <c r="X172" s="1"/>
      <c r="Y172" s="1"/>
      <c r="Z172" s="1"/>
      <c r="AA172" s="1"/>
    </row>
    <row r="173" spans="1:27" x14ac:dyDescent="0.3">
      <c r="Q173" s="1"/>
      <c r="S173" s="1"/>
      <c r="T173" s="1"/>
      <c r="V173" s="1"/>
      <c r="W173" s="1"/>
      <c r="X173" s="1"/>
      <c r="Y173" s="1"/>
      <c r="Z173" s="1"/>
      <c r="AA173" s="1"/>
    </row>
    <row r="174" spans="1:27" x14ac:dyDescent="0.3">
      <c r="A174" s="1"/>
      <c r="C174" s="1"/>
      <c r="D174" s="1"/>
      <c r="F174" s="1"/>
      <c r="G174" s="1"/>
      <c r="H174" s="1"/>
      <c r="I174" s="1"/>
      <c r="J174" s="1"/>
      <c r="K174" s="1"/>
    </row>
    <row r="178" spans="1:27" x14ac:dyDescent="0.3">
      <c r="A178" s="1"/>
      <c r="C178" s="1"/>
      <c r="D178" s="1"/>
      <c r="F178" s="1"/>
      <c r="G178" s="1"/>
      <c r="H178" s="1"/>
      <c r="I178" s="1"/>
      <c r="J178" s="1"/>
      <c r="K178" s="1"/>
    </row>
    <row r="180" spans="1:27" x14ac:dyDescent="0.3">
      <c r="Q180" s="1"/>
      <c r="S180" s="1"/>
      <c r="T180" s="1"/>
      <c r="V180" s="1"/>
      <c r="W180" s="1"/>
      <c r="X180" s="1"/>
      <c r="Y180" s="1"/>
      <c r="Z180" s="1"/>
      <c r="AA180" s="1"/>
    </row>
    <row r="184" spans="1:27" x14ac:dyDescent="0.3">
      <c r="A184" s="1"/>
      <c r="C184" s="1"/>
      <c r="D184" s="1"/>
      <c r="F184" s="1"/>
      <c r="G184" s="1"/>
      <c r="H184" s="1"/>
      <c r="I184" s="1"/>
      <c r="J184" s="1"/>
      <c r="K184" s="1"/>
    </row>
    <row r="187" spans="1:27" x14ac:dyDescent="0.3">
      <c r="Q187" s="1"/>
      <c r="S187" s="1"/>
      <c r="T187" s="1"/>
      <c r="V187" s="1"/>
      <c r="W187" s="1"/>
      <c r="X187" s="1"/>
      <c r="Y187" s="1"/>
      <c r="Z187" s="1"/>
      <c r="AA187" s="1"/>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Q188"/>
  <sheetViews>
    <sheetView topLeftCell="AH4" workbookViewId="0">
      <selection activeCell="AM19" sqref="AM19"/>
    </sheetView>
  </sheetViews>
  <sheetFormatPr defaultRowHeight="14.4" x14ac:dyDescent="0.3"/>
  <cols>
    <col min="1" max="1" width="17.77734375" bestFit="1" customWidth="1"/>
    <col min="3" max="3" width="20.21875" bestFit="1" customWidth="1"/>
    <col min="4" max="4" width="18.6640625" bestFit="1" customWidth="1"/>
    <col min="5" max="5" width="16.5546875" bestFit="1" customWidth="1"/>
    <col min="6" max="6" width="20" bestFit="1" customWidth="1"/>
    <col min="7" max="7" width="22.44140625" bestFit="1" customWidth="1"/>
    <col min="8" max="8" width="16.5546875" bestFit="1" customWidth="1"/>
    <col min="9" max="9" width="31.77734375" bestFit="1" customWidth="1"/>
    <col min="10" max="10" width="16.5546875" bestFit="1" customWidth="1"/>
    <col min="11" max="11" width="26.5546875" bestFit="1" customWidth="1"/>
    <col min="12" max="12" width="16.5546875" bestFit="1" customWidth="1"/>
    <col min="19" max="19" width="20.21875" bestFit="1" customWidth="1"/>
    <col min="20" max="20" width="18.6640625" bestFit="1" customWidth="1"/>
    <col min="21" max="21" width="16.5546875" bestFit="1" customWidth="1"/>
    <col min="22" max="22" width="20" bestFit="1" customWidth="1"/>
    <col min="23" max="23" width="22.44140625" bestFit="1" customWidth="1"/>
    <col min="24" max="24" width="16.5546875" bestFit="1" customWidth="1"/>
    <col min="25" max="25" width="31.77734375" bestFit="1" customWidth="1"/>
    <col min="26" max="26" width="16.5546875" bestFit="1" customWidth="1"/>
    <col min="27" max="27" width="26.5546875" bestFit="1" customWidth="1"/>
    <col min="28" max="28" width="16.5546875" bestFit="1" customWidth="1"/>
    <col min="31" max="31" width="31.21875" bestFit="1" customWidth="1"/>
    <col min="32" max="32" width="20.21875" bestFit="1" customWidth="1"/>
    <col min="33" max="33" width="18.6640625" bestFit="1" customWidth="1"/>
    <col min="34" max="34" width="16.5546875" bestFit="1" customWidth="1"/>
    <col min="35" max="35" width="20" bestFit="1" customWidth="1"/>
    <col min="36" max="36" width="23.44140625" bestFit="1" customWidth="1"/>
    <col min="37" max="37" width="20.6640625" bestFit="1" customWidth="1"/>
    <col min="38" max="38" width="14.6640625" bestFit="1" customWidth="1"/>
    <col min="39" max="39" width="18.6640625" bestFit="1" customWidth="1"/>
    <col min="40" max="40" width="11.5546875" bestFit="1" customWidth="1"/>
    <col min="41" max="41" width="26.5546875" bestFit="1" customWidth="1"/>
    <col min="42" max="42" width="16.5546875" bestFit="1" customWidth="1"/>
    <col min="43" max="43" width="25.5546875" bestFit="1" customWidth="1"/>
  </cols>
  <sheetData>
    <row r="4" spans="2:43" ht="25.8" x14ac:dyDescent="0.5">
      <c r="B4" s="4" t="s">
        <v>11</v>
      </c>
      <c r="R4" s="4" t="s">
        <v>12</v>
      </c>
      <c r="AE4" s="3" t="s">
        <v>13</v>
      </c>
    </row>
    <row r="7" spans="2:43" ht="18" x14ac:dyDescent="0.35">
      <c r="B7" t="s">
        <v>1</v>
      </c>
      <c r="C7" t="s">
        <v>2</v>
      </c>
      <c r="D7" t="s">
        <v>3</v>
      </c>
      <c r="E7" t="s">
        <v>4</v>
      </c>
      <c r="F7" t="s">
        <v>5</v>
      </c>
      <c r="G7" t="s">
        <v>6</v>
      </c>
      <c r="H7" t="s">
        <v>14</v>
      </c>
      <c r="I7" t="s">
        <v>7</v>
      </c>
      <c r="J7" t="s">
        <v>4</v>
      </c>
      <c r="K7" t="s">
        <v>8</v>
      </c>
      <c r="L7" t="s">
        <v>4</v>
      </c>
      <c r="R7" t="s">
        <v>1</v>
      </c>
      <c r="S7" t="s">
        <v>2</v>
      </c>
      <c r="T7" t="s">
        <v>3</v>
      </c>
      <c r="U7" t="s">
        <v>4</v>
      </c>
      <c r="V7" t="s">
        <v>5</v>
      </c>
      <c r="W7" t="s">
        <v>6</v>
      </c>
      <c r="X7" t="s">
        <v>14</v>
      </c>
      <c r="Y7" t="s">
        <v>7</v>
      </c>
      <c r="Z7" t="s">
        <v>4</v>
      </c>
      <c r="AA7" t="s">
        <v>8</v>
      </c>
      <c r="AB7" t="s">
        <v>4</v>
      </c>
      <c r="AE7" t="s">
        <v>1</v>
      </c>
      <c r="AF7" t="s">
        <v>2</v>
      </c>
      <c r="AG7" t="s">
        <v>3</v>
      </c>
      <c r="AH7" t="s">
        <v>4</v>
      </c>
      <c r="AI7" t="s">
        <v>5</v>
      </c>
      <c r="AJ7" s="6" t="s">
        <v>6</v>
      </c>
      <c r="AK7" s="6" t="s">
        <v>15</v>
      </c>
      <c r="AL7" s="2" t="s">
        <v>16</v>
      </c>
      <c r="AM7" s="2" t="s">
        <v>58</v>
      </c>
      <c r="AN7" s="2" t="s">
        <v>17</v>
      </c>
      <c r="AO7" t="s">
        <v>8</v>
      </c>
      <c r="AP7" t="s">
        <v>4</v>
      </c>
      <c r="AQ7" s="18" t="s">
        <v>125</v>
      </c>
    </row>
    <row r="8" spans="2:43" ht="18" x14ac:dyDescent="0.35">
      <c r="B8" s="1">
        <v>5.0000000000000001E-9</v>
      </c>
      <c r="C8">
        <v>1000</v>
      </c>
      <c r="D8" s="1">
        <v>3.4511560000000001E-12</v>
      </c>
      <c r="E8" s="1">
        <v>1.1029019999999999E-11</v>
      </c>
      <c r="F8">
        <v>167</v>
      </c>
      <c r="G8" s="1">
        <v>0.16700000000000001</v>
      </c>
      <c r="H8" s="1">
        <v>0.4912762</v>
      </c>
      <c r="I8" s="1">
        <v>1.7964120000000001E-3</v>
      </c>
      <c r="J8" s="1">
        <v>2.1775289999999999E-4</v>
      </c>
      <c r="K8" s="1">
        <v>3.5791759999999999E-3</v>
      </c>
      <c r="L8" s="1">
        <v>7.1440040000000005E-4</v>
      </c>
      <c r="R8" s="1">
        <v>5.0000000000000001E-9</v>
      </c>
      <c r="S8">
        <v>1000</v>
      </c>
      <c r="T8" s="1">
        <v>1.252753E-11</v>
      </c>
      <c r="U8" s="1">
        <v>2.170759E-11</v>
      </c>
      <c r="V8">
        <v>548</v>
      </c>
      <c r="W8" s="1">
        <v>0.54800000000000004</v>
      </c>
      <c r="X8" s="1">
        <v>0.88231199999999999</v>
      </c>
      <c r="Y8" s="1">
        <v>7.7866000000000003E-3</v>
      </c>
      <c r="Z8" s="1">
        <v>4.6244199999999997E-4</v>
      </c>
      <c r="AA8" s="1">
        <v>3.5886630000000002E-3</v>
      </c>
      <c r="AB8" s="1">
        <v>7.3794279999999995E-4</v>
      </c>
      <c r="AE8" s="1">
        <f>R8</f>
        <v>5.0000000000000001E-9</v>
      </c>
      <c r="AF8">
        <f>S8</f>
        <v>1000</v>
      </c>
      <c r="AG8" s="1">
        <f>T8-D8</f>
        <v>9.0763739999999999E-12</v>
      </c>
      <c r="AH8" s="1">
        <f>(U8+E8)/2</f>
        <v>1.6368305000000001E-11</v>
      </c>
      <c r="AI8" s="5">
        <f>V8-F8</f>
        <v>381</v>
      </c>
      <c r="AJ8" s="7">
        <f>AI8/AF8</f>
        <v>0.38100000000000001</v>
      </c>
      <c r="AK8" s="7">
        <f>SQRT((1/SQRT(AI8))^2+((SQRT(F8))/(AI8))^2)</f>
        <v>6.1441994281992783E-2</v>
      </c>
      <c r="AL8" s="8">
        <f>AJ8</f>
        <v>0.38100000000000001</v>
      </c>
      <c r="AM8" s="8">
        <f>AL8*2700000</f>
        <v>1028700</v>
      </c>
      <c r="AN8" s="8">
        <f>AM8*AK8</f>
        <v>63205.379517885973</v>
      </c>
      <c r="AO8" s="1">
        <f>(AA8+K8)/2</f>
        <v>3.5839195000000003E-3</v>
      </c>
      <c r="AP8" s="1">
        <f>(AB8+L8)/2</f>
        <v>7.2617160000000005E-4</v>
      </c>
      <c r="AQ8" s="12">
        <f>AO8*6.58/170*1000</f>
        <v>0.13871876652941176</v>
      </c>
    </row>
    <row r="9" spans="2:43" ht="18" x14ac:dyDescent="0.35">
      <c r="B9" s="1">
        <v>1.9999999999999999E-7</v>
      </c>
      <c r="C9">
        <v>1000</v>
      </c>
      <c r="D9" s="1">
        <v>3.444364E-12</v>
      </c>
      <c r="E9" s="1">
        <v>1.0989079999999999E-11</v>
      </c>
      <c r="F9">
        <v>177</v>
      </c>
      <c r="G9" s="1">
        <v>0.17699999999999999</v>
      </c>
      <c r="H9" s="1">
        <v>0.49387740000000002</v>
      </c>
      <c r="I9" s="1">
        <v>1.843894E-3</v>
      </c>
      <c r="J9" s="1">
        <v>2.4988719999999997E-4</v>
      </c>
      <c r="K9" s="1">
        <v>4.1337639999999998E-3</v>
      </c>
      <c r="L9" s="1">
        <v>8.8040850000000001E-4</v>
      </c>
      <c r="R9" s="1">
        <v>1.9999999999999999E-7</v>
      </c>
      <c r="S9">
        <v>1000</v>
      </c>
      <c r="T9" s="1">
        <v>1.0850180000000001E-11</v>
      </c>
      <c r="U9" s="1">
        <v>1.9692220000000001E-11</v>
      </c>
      <c r="V9">
        <v>493</v>
      </c>
      <c r="W9" s="1">
        <v>0.49299999999999999</v>
      </c>
      <c r="X9" s="1">
        <v>0.79409169999999996</v>
      </c>
      <c r="Y9" s="1">
        <v>7.8626819999999993E-3</v>
      </c>
      <c r="Z9" s="1">
        <v>4.4873899999999997E-4</v>
      </c>
      <c r="AA9" s="1">
        <v>3.8247559999999999E-3</v>
      </c>
      <c r="AB9" s="1">
        <v>8.1222480000000001E-4</v>
      </c>
      <c r="AE9" s="1">
        <f t="shared" ref="AE9:AE12" si="0">R9</f>
        <v>1.9999999999999999E-7</v>
      </c>
      <c r="AF9">
        <f t="shared" ref="AF9:AF12" si="1">S9</f>
        <v>1000</v>
      </c>
      <c r="AG9" s="1">
        <f t="shared" ref="AG9:AG12" si="2">T9-D9</f>
        <v>7.4058160000000002E-12</v>
      </c>
      <c r="AH9" s="1">
        <f t="shared" ref="AH9:AH12" si="3">(U9+E9)/2</f>
        <v>1.5340649999999999E-11</v>
      </c>
      <c r="AI9" s="5">
        <f t="shared" ref="AI9:AI12" si="4">V9-F9</f>
        <v>316</v>
      </c>
      <c r="AJ9" s="7">
        <f t="shared" ref="AJ9:AJ12" si="5">AI9/AF9</f>
        <v>0.316</v>
      </c>
      <c r="AK9" s="7">
        <f t="shared" ref="AK9:AK12" si="6">SQRT((1/SQRT(AI9))^2+((SQRT(F9))/(AI9))^2)</f>
        <v>7.0264567440425696E-2</v>
      </c>
      <c r="AL9" s="8">
        <f t="shared" ref="AL9:AL12" si="7">AJ9</f>
        <v>0.316</v>
      </c>
      <c r="AM9" s="8">
        <f t="shared" ref="AM9:AM12" si="8">AL9*2700000</f>
        <v>853200</v>
      </c>
      <c r="AN9" s="8">
        <f t="shared" ref="AN9:AN12" si="9">AM9*AK9</f>
        <v>59949.728940171204</v>
      </c>
      <c r="AO9" s="1">
        <f t="shared" ref="AO9:AO12" si="10">(AA9+K9)/2</f>
        <v>3.9792600000000001E-3</v>
      </c>
      <c r="AP9" s="1">
        <f t="shared" ref="AP9:AP12" si="11">(AB9+L9)/2</f>
        <v>8.4631664999999996E-4</v>
      </c>
      <c r="AQ9" s="12">
        <f t="shared" ref="AQ9:AQ12" si="12">AO9*6.58/170*1000</f>
        <v>0.15402076941176471</v>
      </c>
    </row>
    <row r="10" spans="2:43" ht="18" x14ac:dyDescent="0.35">
      <c r="B10" s="1">
        <v>6.9999999999999997E-7</v>
      </c>
      <c r="C10">
        <v>1000</v>
      </c>
      <c r="D10" s="1">
        <v>2.885564E-12</v>
      </c>
      <c r="E10" s="1">
        <v>9.5252079999999996E-12</v>
      </c>
      <c r="F10">
        <v>135</v>
      </c>
      <c r="G10" s="1">
        <v>0.17899999999999999</v>
      </c>
      <c r="H10" s="1">
        <v>1.1892739999999999</v>
      </c>
      <c r="I10" s="1">
        <v>1.8375069999999999E-3</v>
      </c>
      <c r="J10" s="1">
        <v>2.5958040000000001E-4</v>
      </c>
      <c r="K10" s="1">
        <v>3.771899E-3</v>
      </c>
      <c r="L10" s="1">
        <v>8.1548150000000002E-4</v>
      </c>
      <c r="R10" s="1">
        <v>6.9999999999999997E-7</v>
      </c>
      <c r="S10">
        <v>1000</v>
      </c>
      <c r="T10" s="1">
        <v>7.2672810000000003E-12</v>
      </c>
      <c r="U10" s="1">
        <v>1.5547690000000002E-11</v>
      </c>
      <c r="V10">
        <v>321</v>
      </c>
      <c r="W10" s="1">
        <v>0.32100000000000001</v>
      </c>
      <c r="X10" s="1">
        <v>0.67706529999999998</v>
      </c>
      <c r="Y10" s="1">
        <v>7.7021879999999996E-3</v>
      </c>
      <c r="Z10" s="1">
        <v>4.6387240000000002E-4</v>
      </c>
      <c r="AA10" s="1">
        <v>3.8963159999999999E-3</v>
      </c>
      <c r="AB10" s="1">
        <v>8.4610749999999998E-4</v>
      </c>
      <c r="AE10" s="1">
        <f t="shared" si="0"/>
        <v>6.9999999999999997E-7</v>
      </c>
      <c r="AF10">
        <f t="shared" si="1"/>
        <v>1000</v>
      </c>
      <c r="AG10" s="1">
        <f t="shared" si="2"/>
        <v>4.3817170000000003E-12</v>
      </c>
      <c r="AH10" s="1">
        <f t="shared" si="3"/>
        <v>1.2536449000000001E-11</v>
      </c>
      <c r="AI10" s="5">
        <f t="shared" si="4"/>
        <v>186</v>
      </c>
      <c r="AJ10" s="7">
        <f t="shared" si="5"/>
        <v>0.186</v>
      </c>
      <c r="AK10" s="7">
        <f t="shared" si="6"/>
        <v>9.6325122941768371E-2</v>
      </c>
      <c r="AL10" s="8">
        <f t="shared" si="7"/>
        <v>0.186</v>
      </c>
      <c r="AM10" s="8">
        <f t="shared" si="8"/>
        <v>502200</v>
      </c>
      <c r="AN10" s="8">
        <f t="shared" si="9"/>
        <v>48374.476741356077</v>
      </c>
      <c r="AO10" s="1">
        <f t="shared" si="10"/>
        <v>3.8341075E-3</v>
      </c>
      <c r="AP10" s="1">
        <f t="shared" si="11"/>
        <v>8.307945E-4</v>
      </c>
      <c r="AQ10" s="12">
        <f t="shared" si="12"/>
        <v>0.14840251382352942</v>
      </c>
    </row>
    <row r="11" spans="2:43" ht="18" x14ac:dyDescent="0.35">
      <c r="B11" s="1">
        <v>1.3999999999999999E-6</v>
      </c>
      <c r="C11">
        <v>1000</v>
      </c>
      <c r="D11" s="1">
        <v>3.1173520000000002E-12</v>
      </c>
      <c r="E11" s="1">
        <v>1.022634E-11</v>
      </c>
      <c r="F11">
        <v>133</v>
      </c>
      <c r="G11" s="1">
        <v>0.17699999999999999</v>
      </c>
      <c r="H11" s="1">
        <v>1.1623349999999999</v>
      </c>
      <c r="I11" s="1">
        <v>1.8075190000000001E-3</v>
      </c>
      <c r="J11" s="1">
        <v>2.2376610000000001E-4</v>
      </c>
      <c r="K11" s="1">
        <v>3.864059E-3</v>
      </c>
      <c r="L11" s="1">
        <v>8.1781409999999997E-4</v>
      </c>
      <c r="R11" s="1">
        <v>1.3999999999999999E-6</v>
      </c>
      <c r="S11">
        <v>1000</v>
      </c>
      <c r="T11" s="1">
        <v>5.360658E-12</v>
      </c>
      <c r="U11" s="1">
        <v>1.281689E-11</v>
      </c>
      <c r="V11">
        <v>260</v>
      </c>
      <c r="W11" s="1">
        <v>0.26</v>
      </c>
      <c r="X11" s="1">
        <v>0.57160010000000006</v>
      </c>
      <c r="Y11" s="1">
        <v>7.6127779999999997E-3</v>
      </c>
      <c r="Z11" s="1">
        <v>5.7384419999999996E-4</v>
      </c>
      <c r="AA11" s="1">
        <v>4.1375589999999999E-3</v>
      </c>
      <c r="AB11" s="1">
        <v>8.3902749999999996E-4</v>
      </c>
      <c r="AE11" s="1">
        <f t="shared" si="0"/>
        <v>1.3999999999999999E-6</v>
      </c>
      <c r="AF11">
        <f t="shared" si="1"/>
        <v>1000</v>
      </c>
      <c r="AG11" s="1">
        <f t="shared" si="2"/>
        <v>2.2433059999999998E-12</v>
      </c>
      <c r="AH11" s="1">
        <f t="shared" si="3"/>
        <v>1.1521615000000001E-11</v>
      </c>
      <c r="AI11" s="5">
        <f t="shared" si="4"/>
        <v>127</v>
      </c>
      <c r="AJ11" s="7">
        <f t="shared" si="5"/>
        <v>0.127</v>
      </c>
      <c r="AK11" s="7">
        <f t="shared" si="6"/>
        <v>0.12696468894958346</v>
      </c>
      <c r="AL11" s="8">
        <f t="shared" si="7"/>
        <v>0.127</v>
      </c>
      <c r="AM11" s="8">
        <f t="shared" si="8"/>
        <v>342900</v>
      </c>
      <c r="AN11" s="8">
        <f t="shared" si="9"/>
        <v>43536.191840812171</v>
      </c>
      <c r="AO11" s="1">
        <f>(AA11+K11)/2</f>
        <v>4.0008090000000001E-3</v>
      </c>
      <c r="AP11" s="1">
        <f t="shared" si="11"/>
        <v>8.2842079999999991E-4</v>
      </c>
      <c r="AQ11" s="12">
        <f t="shared" si="12"/>
        <v>0.15485484247058826</v>
      </c>
    </row>
    <row r="12" spans="2:43" ht="18" x14ac:dyDescent="0.35">
      <c r="B12" s="1">
        <v>3.0000000000000001E-6</v>
      </c>
      <c r="C12">
        <v>1000</v>
      </c>
      <c r="D12" s="1">
        <v>2.8884379999999998E-12</v>
      </c>
      <c r="E12" s="1">
        <v>9.5650380000000007E-12</v>
      </c>
      <c r="F12">
        <v>140</v>
      </c>
      <c r="G12" s="1">
        <v>0.14000000000000001</v>
      </c>
      <c r="H12" s="1">
        <v>0.57552340000000002</v>
      </c>
      <c r="I12" s="1">
        <v>1.9052590000000001E-3</v>
      </c>
      <c r="J12" s="1">
        <v>2.7036319999999999E-4</v>
      </c>
      <c r="K12" s="1">
        <v>3.7865360000000001E-3</v>
      </c>
      <c r="L12" s="1">
        <v>8.2291630000000003E-4</v>
      </c>
      <c r="R12" s="1">
        <v>3.0000000000000001E-6</v>
      </c>
      <c r="S12">
        <v>1000</v>
      </c>
      <c r="T12" s="1">
        <v>3.3109130000000002E-12</v>
      </c>
      <c r="U12" s="1">
        <v>1.023335E-11</v>
      </c>
      <c r="V12">
        <v>159</v>
      </c>
      <c r="W12" s="1">
        <v>0.159</v>
      </c>
      <c r="X12" s="1">
        <v>0.47322609999999998</v>
      </c>
      <c r="Y12" s="1">
        <v>7.689693E-3</v>
      </c>
      <c r="Z12" s="1">
        <v>4.6161539999999999E-4</v>
      </c>
      <c r="AA12" s="1">
        <v>3.8448139999999998E-3</v>
      </c>
      <c r="AB12" s="1">
        <v>8.4690769999999996E-4</v>
      </c>
      <c r="AE12" s="1">
        <f t="shared" si="0"/>
        <v>3.0000000000000001E-6</v>
      </c>
      <c r="AF12">
        <f t="shared" si="1"/>
        <v>1000</v>
      </c>
      <c r="AG12" s="1">
        <f t="shared" si="2"/>
        <v>4.2247500000000038E-13</v>
      </c>
      <c r="AH12" s="1">
        <f t="shared" si="3"/>
        <v>9.8991939999999994E-12</v>
      </c>
      <c r="AI12" s="5">
        <f t="shared" si="4"/>
        <v>19</v>
      </c>
      <c r="AJ12" s="7">
        <f t="shared" si="5"/>
        <v>1.9E-2</v>
      </c>
      <c r="AK12" s="7">
        <f t="shared" si="6"/>
        <v>0.66365895857465751</v>
      </c>
      <c r="AL12" s="8">
        <f t="shared" si="7"/>
        <v>1.9E-2</v>
      </c>
      <c r="AM12" s="8">
        <f t="shared" si="8"/>
        <v>51300</v>
      </c>
      <c r="AN12" s="8">
        <f t="shared" si="9"/>
        <v>34045.704574879928</v>
      </c>
      <c r="AO12" s="1">
        <f t="shared" si="10"/>
        <v>3.8156750000000001E-3</v>
      </c>
      <c r="AP12" s="1">
        <f t="shared" si="11"/>
        <v>8.3491199999999994E-4</v>
      </c>
      <c r="AQ12" s="12">
        <f t="shared" si="12"/>
        <v>0.14768906764705883</v>
      </c>
    </row>
    <row r="13" spans="2:43" ht="18" x14ac:dyDescent="0.35">
      <c r="B13" s="1"/>
      <c r="D13" s="1"/>
      <c r="E13" s="1"/>
      <c r="G13" s="1"/>
      <c r="H13" s="1"/>
      <c r="I13" s="1"/>
      <c r="J13" s="1"/>
      <c r="K13" s="1"/>
      <c r="L13" s="1"/>
      <c r="R13" s="1"/>
      <c r="T13" s="1"/>
      <c r="U13" s="1"/>
      <c r="W13" s="1"/>
      <c r="X13" s="1"/>
      <c r="Y13" s="1"/>
      <c r="Z13" s="1"/>
      <c r="AA13" s="1"/>
      <c r="AB13" s="1"/>
      <c r="AE13" s="1"/>
      <c r="AG13" s="1"/>
      <c r="AH13" s="1"/>
      <c r="AI13" s="5"/>
      <c r="AJ13" s="7"/>
      <c r="AK13" s="7"/>
      <c r="AL13" s="8"/>
      <c r="AM13" s="8"/>
      <c r="AN13" s="8"/>
      <c r="AO13" s="1"/>
      <c r="AP13" s="1"/>
      <c r="AQ13" s="12"/>
    </row>
    <row r="14" spans="2:43" ht="23.4" x14ac:dyDescent="0.45">
      <c r="B14" s="46" t="s">
        <v>138</v>
      </c>
      <c r="D14" s="1"/>
      <c r="E14" s="1"/>
      <c r="G14" s="1"/>
      <c r="H14" s="1"/>
      <c r="I14" s="1"/>
      <c r="J14" s="1"/>
      <c r="K14" s="1"/>
      <c r="L14" s="1"/>
      <c r="R14" s="1"/>
      <c r="T14" s="1"/>
      <c r="U14" s="1"/>
      <c r="W14" s="1"/>
      <c r="X14" s="1"/>
      <c r="Y14" s="1"/>
      <c r="Z14" s="1"/>
      <c r="AA14" s="1"/>
      <c r="AB14" s="1"/>
      <c r="AE14" s="1"/>
      <c r="AG14" s="1"/>
      <c r="AH14" s="1"/>
      <c r="AI14" s="5"/>
      <c r="AJ14" s="7"/>
      <c r="AK14" s="7"/>
      <c r="AL14" s="45" t="s">
        <v>139</v>
      </c>
      <c r="AM14" s="8"/>
      <c r="AN14" s="8"/>
      <c r="AO14" s="1"/>
      <c r="AP14" s="1"/>
      <c r="AQ14" s="12"/>
    </row>
    <row r="15" spans="2:43" ht="18" x14ac:dyDescent="0.35">
      <c r="B15" s="1">
        <v>5.0000000000000001E-9</v>
      </c>
      <c r="C15">
        <v>1500</v>
      </c>
      <c r="D15" s="1">
        <v>5.7363439999999997E-12</v>
      </c>
      <c r="E15" s="1">
        <v>1.444832E-11</v>
      </c>
      <c r="F15">
        <v>417</v>
      </c>
      <c r="G15" s="1">
        <v>0.37266670000000002</v>
      </c>
      <c r="H15" s="1">
        <v>2.6668069999999999</v>
      </c>
      <c r="I15" s="1">
        <v>1.6928410000000001E-3</v>
      </c>
      <c r="J15" s="1">
        <v>1.565681E-4</v>
      </c>
      <c r="K15" s="1">
        <v>4.2420069999999999E-3</v>
      </c>
      <c r="L15" s="1">
        <v>7.8246499999999998E-4</v>
      </c>
      <c r="R15" s="1">
        <v>5.0000000000000001E-9</v>
      </c>
      <c r="S15">
        <v>1500</v>
      </c>
      <c r="T15" s="1">
        <v>4.6295630000000002E-11</v>
      </c>
      <c r="U15" s="1">
        <v>4.2820150000000003E-11</v>
      </c>
      <c r="V15">
        <v>2221</v>
      </c>
      <c r="W15" s="1">
        <v>1.480667</v>
      </c>
      <c r="X15" s="1">
        <v>1.1575200000000001</v>
      </c>
      <c r="Y15" s="1">
        <v>1.04739E-2</v>
      </c>
      <c r="Z15" s="1">
        <v>5.6996689999999997E-4</v>
      </c>
      <c r="AA15" s="1">
        <v>3.6800100000000001E-3</v>
      </c>
      <c r="AB15" s="1">
        <v>6.8601540000000003E-4</v>
      </c>
      <c r="AE15" s="1">
        <f t="shared" ref="AE15" si="13">R15</f>
        <v>5.0000000000000001E-9</v>
      </c>
      <c r="AF15">
        <f t="shared" ref="AF15" si="14">S15</f>
        <v>1500</v>
      </c>
      <c r="AG15" s="1">
        <f t="shared" ref="AG15" si="15">T15-D15</f>
        <v>4.0559286000000001E-11</v>
      </c>
      <c r="AH15" s="1">
        <f t="shared" ref="AH15" si="16">(U15+E15)/2</f>
        <v>2.8634235000000001E-11</v>
      </c>
      <c r="AI15" s="5">
        <f t="shared" ref="AI15" si="17">V15-F15</f>
        <v>1804</v>
      </c>
      <c r="AJ15" s="7">
        <f t="shared" ref="AJ15" si="18">AI15/AF15</f>
        <v>1.2026666666666668</v>
      </c>
      <c r="AK15" s="7">
        <f>SQRT((1/SQRT(AI15))^2+((SQRT(F15))/(AI15))^2)</f>
        <v>2.6123883964408377E-2</v>
      </c>
      <c r="AL15" s="8">
        <f>AJ15*1.52</f>
        <v>1.8280533333333335</v>
      </c>
      <c r="AM15" s="8">
        <f>AL15*2510000</f>
        <v>4588413.8666666672</v>
      </c>
      <c r="AN15" s="8">
        <f>AM15*AK15</f>
        <v>119867.19143348238</v>
      </c>
      <c r="AO15" s="1">
        <f t="shared" ref="AO15" si="19">(AA15+K15)/2</f>
        <v>3.9610085E-3</v>
      </c>
      <c r="AP15" s="1">
        <f t="shared" ref="AP15" si="20">(AB15+L15)/2</f>
        <v>7.342402E-4</v>
      </c>
      <c r="AQ15" s="12">
        <f t="shared" ref="AQ15" si="21">AO15*6.58/170*1000</f>
        <v>0.153314329</v>
      </c>
    </row>
    <row r="16" spans="2:43" x14ac:dyDescent="0.3">
      <c r="B16" s="1"/>
      <c r="D16" s="1"/>
      <c r="E16" s="1"/>
      <c r="G16" s="1"/>
      <c r="H16" s="1"/>
      <c r="I16" s="1"/>
      <c r="J16" s="1"/>
      <c r="K16" s="1"/>
      <c r="L16" s="1"/>
      <c r="R16" s="1"/>
      <c r="T16" s="1"/>
      <c r="U16" s="1"/>
      <c r="W16" s="1"/>
      <c r="X16" s="1"/>
      <c r="Y16" s="1"/>
      <c r="Z16" s="1"/>
      <c r="AA16" s="1"/>
      <c r="AB16" s="1"/>
      <c r="AG16" s="1"/>
      <c r="AH16" s="1"/>
      <c r="AI16" s="5"/>
    </row>
    <row r="18" spans="2:28" x14ac:dyDescent="0.3">
      <c r="D18" s="1"/>
      <c r="E18" s="1"/>
      <c r="T18" s="1"/>
      <c r="U18" s="1"/>
    </row>
    <row r="19" spans="2:28" x14ac:dyDescent="0.3">
      <c r="R19" s="1"/>
      <c r="T19" s="1"/>
      <c r="U19" s="1"/>
      <c r="W19" s="1"/>
      <c r="X19" s="1"/>
      <c r="Y19" s="1"/>
      <c r="Z19" s="1"/>
      <c r="AA19" s="1"/>
      <c r="AB19" s="1"/>
    </row>
    <row r="20" spans="2:28" x14ac:dyDescent="0.3">
      <c r="B20" s="1"/>
      <c r="D20" s="1"/>
      <c r="E20" s="1"/>
      <c r="G20" s="1"/>
      <c r="H20" s="1"/>
      <c r="I20" s="1"/>
      <c r="J20" s="1"/>
      <c r="K20" s="1"/>
      <c r="L20" s="1"/>
      <c r="R20" s="1"/>
      <c r="T20" s="1"/>
      <c r="U20" s="1"/>
      <c r="W20" s="1"/>
      <c r="X20" s="1"/>
      <c r="Y20" s="1"/>
      <c r="Z20" s="1"/>
      <c r="AA20" s="1"/>
      <c r="AB20" s="1"/>
    </row>
    <row r="22" spans="2:28" x14ac:dyDescent="0.3">
      <c r="B22" s="1"/>
      <c r="D22" s="1"/>
      <c r="E22" s="1"/>
      <c r="G22" s="1"/>
      <c r="H22" s="1"/>
      <c r="I22" s="1"/>
      <c r="J22" s="1"/>
      <c r="K22" s="1"/>
      <c r="L22" s="1"/>
    </row>
    <row r="26" spans="2:28" x14ac:dyDescent="0.3">
      <c r="R26" s="1"/>
      <c r="T26" s="1"/>
      <c r="U26" s="1"/>
      <c r="W26" s="1"/>
      <c r="X26" s="1"/>
      <c r="Y26" s="1"/>
      <c r="Z26" s="1"/>
      <c r="AA26" s="1"/>
      <c r="AB26" s="1"/>
    </row>
    <row r="27" spans="2:28" x14ac:dyDescent="0.3">
      <c r="B27" s="1"/>
      <c r="D27" s="1"/>
      <c r="E27" s="1"/>
      <c r="G27" s="1"/>
      <c r="H27" s="1"/>
      <c r="I27" s="1"/>
      <c r="J27" s="1"/>
      <c r="K27" s="1"/>
      <c r="L27" s="1"/>
      <c r="R27" s="1"/>
      <c r="T27" s="1"/>
      <c r="U27" s="1"/>
      <c r="W27" s="1"/>
      <c r="X27" s="1"/>
      <c r="Y27" s="1"/>
      <c r="Z27" s="1"/>
      <c r="AA27" s="1"/>
      <c r="AB27" s="1"/>
    </row>
    <row r="29" spans="2:28" x14ac:dyDescent="0.3">
      <c r="B29" s="1"/>
      <c r="D29" s="1"/>
      <c r="E29" s="1"/>
      <c r="G29" s="1"/>
      <c r="H29" s="1"/>
      <c r="I29" s="1"/>
      <c r="J29" s="1"/>
      <c r="K29" s="1"/>
      <c r="L29" s="1"/>
      <c r="R29" s="1"/>
      <c r="T29" s="1"/>
      <c r="U29" s="1"/>
      <c r="W29" s="1"/>
      <c r="X29" s="1"/>
      <c r="Y29" s="1"/>
      <c r="Z29" s="1"/>
      <c r="AA29" s="1"/>
      <c r="AB29" s="1"/>
    </row>
    <row r="33" spans="2:28" x14ac:dyDescent="0.3">
      <c r="R33" s="1"/>
      <c r="T33" s="1"/>
      <c r="U33" s="1"/>
      <c r="W33" s="1"/>
      <c r="X33" s="1"/>
      <c r="Y33" s="1"/>
      <c r="Z33" s="1"/>
      <c r="AA33" s="1"/>
      <c r="AB33" s="1"/>
    </row>
    <row r="34" spans="2:28" x14ac:dyDescent="0.3">
      <c r="B34" s="1"/>
      <c r="D34" s="1"/>
      <c r="E34" s="1"/>
      <c r="G34" s="1"/>
      <c r="H34" s="1"/>
      <c r="I34" s="1"/>
      <c r="J34" s="1"/>
      <c r="K34" s="1"/>
      <c r="L34" s="1"/>
      <c r="R34" s="1"/>
      <c r="T34" s="1"/>
      <c r="U34" s="1"/>
      <c r="W34" s="1"/>
      <c r="X34" s="1"/>
      <c r="Y34" s="1"/>
      <c r="Z34" s="1"/>
      <c r="AA34" s="1"/>
      <c r="AB34" s="1"/>
    </row>
    <row r="36" spans="2:28" x14ac:dyDescent="0.3">
      <c r="B36" s="1"/>
      <c r="D36" s="1"/>
      <c r="E36" s="1"/>
      <c r="G36" s="1"/>
      <c r="H36" s="1"/>
      <c r="I36" s="1"/>
      <c r="J36" s="1"/>
      <c r="K36" s="1"/>
      <c r="L36" s="1"/>
      <c r="R36" s="1"/>
      <c r="T36" s="1"/>
      <c r="U36" s="1"/>
      <c r="W36" s="1"/>
      <c r="X36" s="1"/>
      <c r="Y36" s="1"/>
      <c r="Z36" s="1"/>
      <c r="AA36" s="1"/>
      <c r="AB36" s="1"/>
    </row>
    <row r="37" spans="2:28" x14ac:dyDescent="0.3">
      <c r="B37" s="1"/>
      <c r="D37" s="1"/>
      <c r="E37" s="1"/>
      <c r="G37" s="1"/>
      <c r="H37" s="1"/>
      <c r="I37" s="1"/>
      <c r="J37" s="1"/>
      <c r="K37" s="1"/>
      <c r="L37" s="1"/>
      <c r="R37" s="1"/>
      <c r="T37" s="1"/>
      <c r="U37" s="1"/>
      <c r="W37" s="1"/>
      <c r="X37" s="1"/>
      <c r="Y37" s="1"/>
      <c r="Z37" s="1"/>
      <c r="AA37" s="1"/>
      <c r="AB37" s="1"/>
    </row>
    <row r="39" spans="2:28" x14ac:dyDescent="0.3">
      <c r="R39" s="1"/>
      <c r="T39" s="1"/>
      <c r="U39" s="1"/>
      <c r="W39" s="1"/>
      <c r="X39" s="1"/>
      <c r="Y39" s="1"/>
      <c r="Z39" s="1"/>
      <c r="AA39" s="1"/>
      <c r="AB39" s="1"/>
    </row>
    <row r="41" spans="2:28" x14ac:dyDescent="0.3">
      <c r="B41" s="1"/>
      <c r="D41" s="1"/>
      <c r="E41" s="1"/>
      <c r="G41" s="1"/>
      <c r="H41" s="1"/>
      <c r="I41" s="1"/>
      <c r="J41" s="1"/>
      <c r="K41" s="1"/>
      <c r="L41" s="1"/>
      <c r="R41" s="1"/>
      <c r="T41" s="1"/>
      <c r="U41" s="1"/>
      <c r="W41" s="1"/>
      <c r="X41" s="1"/>
      <c r="Y41" s="1"/>
      <c r="Z41" s="1"/>
      <c r="AA41" s="1"/>
      <c r="AB41" s="1"/>
    </row>
    <row r="43" spans="2:28" x14ac:dyDescent="0.3">
      <c r="B43" s="1"/>
      <c r="D43" s="1"/>
      <c r="E43" s="1"/>
      <c r="G43" s="1"/>
      <c r="H43" s="1"/>
      <c r="I43" s="1"/>
      <c r="J43" s="1"/>
      <c r="K43" s="1"/>
      <c r="L43" s="1"/>
      <c r="R43" s="1"/>
      <c r="T43" s="1"/>
      <c r="U43" s="1"/>
      <c r="W43" s="1"/>
      <c r="X43" s="1"/>
      <c r="Y43" s="1"/>
      <c r="Z43" s="1"/>
      <c r="AA43" s="1"/>
      <c r="AB43" s="1"/>
    </row>
    <row r="44" spans="2:28" x14ac:dyDescent="0.3">
      <c r="B44" s="1"/>
      <c r="D44" s="1"/>
      <c r="E44" s="1"/>
      <c r="G44" s="1"/>
      <c r="H44" s="1"/>
      <c r="I44" s="1"/>
      <c r="J44" s="1"/>
      <c r="K44" s="1"/>
      <c r="L44" s="1"/>
      <c r="R44" s="1"/>
      <c r="T44" s="1"/>
      <c r="U44" s="1"/>
      <c r="W44" s="1"/>
      <c r="X44" s="1"/>
      <c r="Y44" s="1"/>
      <c r="Z44" s="1"/>
      <c r="AA44" s="1"/>
      <c r="AB44" s="1"/>
    </row>
    <row r="46" spans="2:28" x14ac:dyDescent="0.3">
      <c r="R46" s="1"/>
      <c r="T46" s="1"/>
      <c r="U46" s="1"/>
      <c r="W46" s="1"/>
      <c r="X46" s="1"/>
      <c r="Y46" s="1"/>
      <c r="Z46" s="1"/>
      <c r="AA46" s="1"/>
      <c r="AB46" s="1"/>
    </row>
    <row r="48" spans="2:28" x14ac:dyDescent="0.3">
      <c r="B48" s="1"/>
      <c r="D48" s="1"/>
      <c r="E48" s="1"/>
      <c r="G48" s="1"/>
      <c r="H48" s="1"/>
      <c r="I48" s="1"/>
      <c r="J48" s="1"/>
      <c r="K48" s="1"/>
      <c r="L48" s="1"/>
      <c r="R48" s="1"/>
      <c r="T48" s="1"/>
      <c r="U48" s="1"/>
      <c r="W48" s="1"/>
      <c r="X48" s="1"/>
      <c r="Y48" s="1"/>
      <c r="Z48" s="1"/>
      <c r="AA48" s="1"/>
      <c r="AB48" s="1"/>
    </row>
    <row r="50" spans="2:28" x14ac:dyDescent="0.3">
      <c r="B50" s="1"/>
      <c r="D50" s="1"/>
      <c r="E50" s="1"/>
      <c r="G50" s="1"/>
      <c r="H50" s="1"/>
      <c r="I50" s="1"/>
      <c r="J50" s="1"/>
      <c r="K50" s="1"/>
      <c r="L50" s="1"/>
      <c r="R50" s="1"/>
      <c r="T50" s="1"/>
      <c r="U50" s="1"/>
      <c r="W50" s="1"/>
      <c r="X50" s="1"/>
      <c r="Y50" s="1"/>
      <c r="Z50" s="1"/>
      <c r="AA50" s="1"/>
      <c r="AB50" s="1"/>
    </row>
    <row r="51" spans="2:28" x14ac:dyDescent="0.3">
      <c r="B51" s="1"/>
      <c r="D51" s="1"/>
      <c r="E51" s="1"/>
      <c r="G51" s="1"/>
      <c r="H51" s="1"/>
      <c r="I51" s="1"/>
      <c r="J51" s="1"/>
      <c r="K51" s="1"/>
      <c r="L51" s="1"/>
      <c r="R51" s="1"/>
      <c r="T51" s="1"/>
      <c r="U51" s="1"/>
      <c r="W51" s="1"/>
      <c r="X51" s="1"/>
      <c r="Y51" s="1"/>
      <c r="Z51" s="1"/>
      <c r="AA51" s="1"/>
      <c r="AB51" s="1"/>
    </row>
    <row r="55" spans="2:28" x14ac:dyDescent="0.3">
      <c r="B55" s="1"/>
      <c r="D55" s="1"/>
      <c r="E55" s="1"/>
      <c r="G55" s="1"/>
      <c r="H55" s="1"/>
      <c r="I55" s="1"/>
      <c r="J55" s="1"/>
      <c r="K55" s="1"/>
      <c r="L55" s="1"/>
      <c r="R55" s="1"/>
      <c r="T55" s="1"/>
      <c r="U55" s="1"/>
      <c r="W55" s="1"/>
      <c r="X55" s="1"/>
      <c r="Y55" s="1"/>
      <c r="Z55" s="1"/>
      <c r="AA55" s="1"/>
      <c r="AB55" s="1"/>
    </row>
    <row r="57" spans="2:28" x14ac:dyDescent="0.3">
      <c r="B57" s="1"/>
      <c r="D57" s="1"/>
      <c r="E57" s="1"/>
      <c r="G57" s="1"/>
      <c r="H57" s="1"/>
      <c r="I57" s="1"/>
      <c r="J57" s="1"/>
      <c r="K57" s="1"/>
      <c r="L57" s="1"/>
      <c r="R57" s="1"/>
      <c r="T57" s="1"/>
      <c r="U57" s="1"/>
      <c r="W57" s="1"/>
      <c r="X57" s="1"/>
      <c r="Y57" s="1"/>
      <c r="Z57" s="1"/>
      <c r="AA57" s="1"/>
      <c r="AB57" s="1"/>
    </row>
    <row r="58" spans="2:28" x14ac:dyDescent="0.3">
      <c r="B58" s="1"/>
      <c r="D58" s="1"/>
      <c r="E58" s="1"/>
      <c r="G58" s="1"/>
      <c r="H58" s="1"/>
      <c r="I58" s="1"/>
      <c r="J58" s="1"/>
      <c r="K58" s="1"/>
      <c r="L58" s="1"/>
      <c r="R58" s="1"/>
      <c r="T58" s="1"/>
      <c r="U58" s="1"/>
      <c r="W58" s="1"/>
      <c r="X58" s="1"/>
      <c r="Y58" s="1"/>
      <c r="Z58" s="1"/>
      <c r="AA58" s="1"/>
      <c r="AB58" s="1"/>
    </row>
    <row r="62" spans="2:28" x14ac:dyDescent="0.3">
      <c r="B62" s="1"/>
      <c r="D62" s="1"/>
      <c r="E62" s="1"/>
      <c r="G62" s="1"/>
      <c r="H62" s="1"/>
      <c r="I62" s="1"/>
      <c r="J62" s="1"/>
      <c r="K62" s="1"/>
      <c r="L62" s="1"/>
      <c r="R62" s="1"/>
      <c r="T62" s="1"/>
      <c r="U62" s="1"/>
      <c r="W62" s="1"/>
      <c r="X62" s="1"/>
      <c r="Y62" s="1"/>
      <c r="Z62" s="1"/>
      <c r="AA62" s="1"/>
      <c r="AB62" s="1"/>
    </row>
    <row r="64" spans="2:28" x14ac:dyDescent="0.3">
      <c r="B64" s="1"/>
      <c r="D64" s="1"/>
      <c r="E64" s="1"/>
      <c r="G64" s="1"/>
      <c r="H64" s="1"/>
      <c r="I64" s="1"/>
      <c r="J64" s="1"/>
      <c r="K64" s="1"/>
      <c r="L64" s="1"/>
      <c r="R64" s="1"/>
      <c r="T64" s="1"/>
      <c r="U64" s="1"/>
      <c r="W64" s="1"/>
      <c r="X64" s="1"/>
      <c r="Y64" s="1"/>
      <c r="Z64" s="1"/>
      <c r="AA64" s="1"/>
      <c r="AB64" s="1"/>
    </row>
    <row r="65" spans="2:28" x14ac:dyDescent="0.3">
      <c r="B65" s="1"/>
      <c r="D65" s="1"/>
      <c r="E65" s="1"/>
      <c r="G65" s="1"/>
      <c r="H65" s="1"/>
      <c r="I65" s="1"/>
      <c r="J65" s="1"/>
      <c r="K65" s="1"/>
      <c r="L65" s="1"/>
      <c r="R65" s="1"/>
      <c r="T65" s="1"/>
      <c r="U65" s="1"/>
      <c r="W65" s="1"/>
      <c r="X65" s="1"/>
      <c r="Y65" s="1"/>
      <c r="Z65" s="1"/>
      <c r="AA65" s="1"/>
      <c r="AB65" s="1"/>
    </row>
    <row r="69" spans="2:28" x14ac:dyDescent="0.3">
      <c r="B69" s="1"/>
      <c r="D69" s="1"/>
      <c r="E69" s="1"/>
      <c r="G69" s="1"/>
      <c r="H69" s="1"/>
      <c r="I69" s="1"/>
      <c r="J69" s="1"/>
      <c r="K69" s="1"/>
      <c r="L69" s="1"/>
      <c r="R69" s="1"/>
      <c r="T69" s="1"/>
      <c r="U69" s="1"/>
      <c r="W69" s="1"/>
      <c r="X69" s="1"/>
      <c r="Y69" s="1"/>
      <c r="Z69" s="1"/>
      <c r="AA69" s="1"/>
      <c r="AB69" s="1"/>
    </row>
    <row r="71" spans="2:28" x14ac:dyDescent="0.3">
      <c r="B71" s="1"/>
      <c r="D71" s="1"/>
      <c r="E71" s="1"/>
      <c r="G71" s="1"/>
      <c r="H71" s="1"/>
      <c r="I71" s="1"/>
      <c r="J71" s="1"/>
      <c r="K71" s="1"/>
      <c r="L71" s="1"/>
      <c r="R71" s="1"/>
      <c r="T71" s="1"/>
      <c r="U71" s="1"/>
      <c r="W71" s="1"/>
      <c r="X71" s="1"/>
      <c r="Y71" s="1"/>
      <c r="Z71" s="1"/>
      <c r="AA71" s="1"/>
      <c r="AB71" s="1"/>
    </row>
    <row r="72" spans="2:28" x14ac:dyDescent="0.3">
      <c r="B72" s="1"/>
      <c r="D72" s="1"/>
      <c r="E72" s="1"/>
      <c r="G72" s="1"/>
      <c r="H72" s="1"/>
      <c r="I72" s="1"/>
      <c r="J72" s="1"/>
      <c r="K72" s="1"/>
      <c r="L72" s="1"/>
      <c r="R72" s="1"/>
      <c r="T72" s="1"/>
      <c r="U72" s="1"/>
      <c r="W72" s="1"/>
      <c r="X72" s="1"/>
      <c r="Y72" s="1"/>
      <c r="Z72" s="1"/>
      <c r="AA72" s="1"/>
      <c r="AB72" s="1"/>
    </row>
    <row r="76" spans="2:28" x14ac:dyDescent="0.3">
      <c r="B76" s="1"/>
      <c r="D76" s="1"/>
      <c r="E76" s="1"/>
      <c r="G76" s="1"/>
      <c r="H76" s="1"/>
      <c r="I76" s="1"/>
      <c r="J76" s="1"/>
      <c r="K76" s="1"/>
      <c r="L76" s="1"/>
      <c r="R76" s="1"/>
      <c r="T76" s="1"/>
      <c r="U76" s="1"/>
      <c r="W76" s="1"/>
      <c r="X76" s="1"/>
      <c r="Y76" s="1"/>
      <c r="Z76" s="1"/>
      <c r="AA76" s="1"/>
      <c r="AB76" s="1"/>
    </row>
    <row r="78" spans="2:28" x14ac:dyDescent="0.3">
      <c r="B78" s="1"/>
      <c r="D78" s="1"/>
      <c r="E78" s="1"/>
      <c r="G78" s="1"/>
      <c r="H78" s="1"/>
      <c r="I78" s="1"/>
      <c r="J78" s="1"/>
      <c r="K78" s="1"/>
      <c r="L78" s="1"/>
      <c r="R78" s="1"/>
      <c r="T78" s="1"/>
      <c r="U78" s="1"/>
      <c r="W78" s="1"/>
      <c r="X78" s="1"/>
      <c r="Y78" s="1"/>
      <c r="Z78" s="1"/>
      <c r="AA78" s="1"/>
      <c r="AB78" s="1"/>
    </row>
    <row r="79" spans="2:28" x14ac:dyDescent="0.3">
      <c r="B79" s="1"/>
      <c r="D79" s="1"/>
      <c r="E79" s="1"/>
      <c r="G79" s="1"/>
      <c r="H79" s="1"/>
      <c r="I79" s="1"/>
      <c r="J79" s="1"/>
      <c r="K79" s="1"/>
      <c r="L79" s="1"/>
      <c r="R79" s="1"/>
      <c r="T79" s="1"/>
      <c r="U79" s="1"/>
      <c r="W79" s="1"/>
      <c r="X79" s="1"/>
      <c r="Y79" s="1"/>
      <c r="Z79" s="1"/>
      <c r="AA79" s="1"/>
      <c r="AB79" s="1"/>
    </row>
    <row r="83" spans="2:28" x14ac:dyDescent="0.3">
      <c r="R83" s="1"/>
      <c r="T83" s="1"/>
      <c r="U83" s="1"/>
      <c r="W83" s="1"/>
      <c r="X83" s="1"/>
      <c r="Y83" s="1"/>
      <c r="Z83" s="1"/>
      <c r="AA83" s="1"/>
      <c r="AB83" s="1"/>
    </row>
    <row r="85" spans="2:28" x14ac:dyDescent="0.3">
      <c r="B85" s="1"/>
      <c r="D85" s="1"/>
      <c r="E85" s="1"/>
      <c r="G85" s="1"/>
      <c r="H85" s="1"/>
      <c r="I85" s="1"/>
      <c r="J85" s="1"/>
      <c r="K85" s="1"/>
      <c r="L85" s="1"/>
      <c r="R85" s="1"/>
      <c r="T85" s="1"/>
      <c r="U85" s="1"/>
      <c r="W85" s="1"/>
      <c r="X85" s="1"/>
      <c r="Y85" s="1"/>
      <c r="Z85" s="1"/>
      <c r="AA85" s="1"/>
      <c r="AB85" s="1"/>
    </row>
    <row r="86" spans="2:28" x14ac:dyDescent="0.3">
      <c r="R86" s="1"/>
      <c r="T86" s="1"/>
      <c r="U86" s="1"/>
      <c r="W86" s="1"/>
      <c r="X86" s="1"/>
      <c r="Y86" s="1"/>
      <c r="Z86" s="1"/>
      <c r="AA86" s="1"/>
      <c r="AB86" s="1"/>
    </row>
    <row r="88" spans="2:28" x14ac:dyDescent="0.3">
      <c r="B88" s="1"/>
      <c r="D88" s="1"/>
      <c r="E88" s="1"/>
      <c r="G88" s="1"/>
      <c r="H88" s="1"/>
      <c r="I88" s="1"/>
      <c r="J88" s="1"/>
      <c r="K88" s="1"/>
      <c r="L88" s="1"/>
    </row>
    <row r="89" spans="2:28" x14ac:dyDescent="0.3">
      <c r="B89" s="1"/>
      <c r="D89" s="1"/>
      <c r="E89" s="1"/>
      <c r="G89" s="1"/>
      <c r="H89" s="1"/>
      <c r="I89" s="1"/>
      <c r="J89" s="1"/>
      <c r="K89" s="1"/>
      <c r="L89" s="1"/>
    </row>
    <row r="92" spans="2:28" x14ac:dyDescent="0.3">
      <c r="B92" s="1"/>
      <c r="D92" s="1"/>
      <c r="E92" s="1"/>
      <c r="G92" s="1"/>
      <c r="H92" s="1"/>
      <c r="I92" s="1"/>
      <c r="J92" s="1"/>
      <c r="K92" s="1"/>
      <c r="L92" s="1"/>
    </row>
    <row r="93" spans="2:28" x14ac:dyDescent="0.3">
      <c r="R93" s="1"/>
      <c r="T93" s="1"/>
      <c r="U93" s="1"/>
      <c r="W93" s="1"/>
      <c r="X93" s="1"/>
      <c r="Y93" s="1"/>
      <c r="Z93" s="1"/>
      <c r="AA93" s="1"/>
      <c r="AB93" s="1"/>
    </row>
    <row r="95" spans="2:28" x14ac:dyDescent="0.3">
      <c r="B95" s="1"/>
      <c r="D95" s="1"/>
      <c r="E95" s="1"/>
      <c r="G95" s="1"/>
      <c r="H95" s="1"/>
      <c r="I95" s="1"/>
      <c r="J95" s="1"/>
      <c r="K95" s="1"/>
      <c r="L95" s="1"/>
      <c r="R95" s="1"/>
      <c r="T95" s="1"/>
      <c r="U95" s="1"/>
      <c r="W95" s="1"/>
      <c r="X95" s="1"/>
      <c r="Y95" s="1"/>
      <c r="Z95" s="1"/>
      <c r="AA95" s="1"/>
      <c r="AB95" s="1"/>
    </row>
    <row r="96" spans="2:28" x14ac:dyDescent="0.3">
      <c r="B96" s="1"/>
      <c r="D96" s="1"/>
      <c r="E96" s="1"/>
      <c r="G96" s="1"/>
      <c r="H96" s="1"/>
      <c r="I96" s="1"/>
      <c r="J96" s="1"/>
      <c r="K96" s="1"/>
      <c r="L96" s="1"/>
    </row>
    <row r="99" spans="2:28" x14ac:dyDescent="0.3">
      <c r="B99" s="1"/>
      <c r="D99" s="1"/>
      <c r="E99" s="1"/>
      <c r="G99" s="1"/>
      <c r="H99" s="1"/>
      <c r="I99" s="1"/>
      <c r="J99" s="1"/>
      <c r="K99" s="1"/>
      <c r="L99" s="1"/>
    </row>
    <row r="100" spans="2:28" x14ac:dyDescent="0.3">
      <c r="R100" s="1"/>
      <c r="T100" s="1"/>
      <c r="U100" s="1"/>
      <c r="W100" s="1"/>
      <c r="X100" s="1"/>
      <c r="Y100" s="1"/>
      <c r="Z100" s="1"/>
      <c r="AA100" s="1"/>
      <c r="AB100" s="1"/>
    </row>
    <row r="102" spans="2:28" x14ac:dyDescent="0.3">
      <c r="B102" s="1"/>
      <c r="D102" s="1"/>
      <c r="E102" s="1"/>
      <c r="G102" s="1"/>
      <c r="H102" s="1"/>
      <c r="I102" s="1"/>
      <c r="J102" s="1"/>
      <c r="K102" s="1"/>
      <c r="L102" s="1"/>
      <c r="R102" s="1"/>
      <c r="T102" s="1"/>
      <c r="U102" s="1"/>
      <c r="W102" s="1"/>
      <c r="X102" s="1"/>
      <c r="Y102" s="1"/>
      <c r="Z102" s="1"/>
      <c r="AA102" s="1"/>
      <c r="AB102" s="1"/>
    </row>
    <row r="103" spans="2:28" x14ac:dyDescent="0.3">
      <c r="B103" s="1"/>
      <c r="D103" s="1"/>
      <c r="E103" s="1"/>
      <c r="G103" s="1"/>
      <c r="H103" s="1"/>
      <c r="I103" s="1"/>
      <c r="J103" s="1"/>
      <c r="K103" s="1"/>
      <c r="L103" s="1"/>
    </row>
    <row r="106" spans="2:28" x14ac:dyDescent="0.3">
      <c r="B106" s="1"/>
      <c r="D106" s="1"/>
      <c r="E106" s="1"/>
      <c r="G106" s="1"/>
      <c r="H106" s="1"/>
      <c r="I106" s="1"/>
      <c r="J106" s="1"/>
      <c r="K106" s="1"/>
      <c r="L106" s="1"/>
    </row>
    <row r="107" spans="2:28" x14ac:dyDescent="0.3">
      <c r="R107" s="1"/>
      <c r="T107" s="1"/>
      <c r="U107" s="1"/>
      <c r="W107" s="1"/>
      <c r="X107" s="1"/>
      <c r="Y107" s="1"/>
      <c r="Z107" s="1"/>
      <c r="AA107" s="1"/>
      <c r="AB107" s="1"/>
    </row>
    <row r="109" spans="2:28" x14ac:dyDescent="0.3">
      <c r="B109" s="1"/>
      <c r="D109" s="1"/>
      <c r="E109" s="1"/>
      <c r="G109" s="1"/>
      <c r="H109" s="1"/>
      <c r="I109" s="1"/>
      <c r="J109" s="1"/>
      <c r="K109" s="1"/>
      <c r="L109" s="1"/>
    </row>
    <row r="113" spans="2:28" x14ac:dyDescent="0.3">
      <c r="B113" s="1"/>
      <c r="D113" s="1"/>
      <c r="E113" s="1"/>
      <c r="G113" s="1"/>
      <c r="H113" s="1"/>
      <c r="I113" s="1"/>
      <c r="J113" s="1"/>
      <c r="K113" s="1"/>
      <c r="L113" s="1"/>
    </row>
    <row r="114" spans="2:28" x14ac:dyDescent="0.3">
      <c r="R114" s="1"/>
      <c r="T114" s="1"/>
      <c r="U114" s="1"/>
      <c r="W114" s="1"/>
      <c r="X114" s="1"/>
      <c r="Y114" s="1"/>
      <c r="Z114" s="1"/>
      <c r="AA114" s="1"/>
      <c r="AB114" s="1"/>
    </row>
    <row r="115" spans="2:28" x14ac:dyDescent="0.3">
      <c r="R115" s="1"/>
      <c r="T115" s="1"/>
      <c r="U115" s="1"/>
      <c r="W115" s="1"/>
      <c r="X115" s="1"/>
      <c r="Y115" s="1"/>
      <c r="Z115" s="1"/>
      <c r="AA115" s="1"/>
      <c r="AB115" s="1"/>
    </row>
    <row r="116" spans="2:28" x14ac:dyDescent="0.3">
      <c r="B116" s="1"/>
      <c r="D116" s="1"/>
      <c r="E116" s="1"/>
      <c r="G116" s="1"/>
      <c r="H116" s="1"/>
      <c r="I116" s="1"/>
      <c r="J116" s="1"/>
      <c r="K116" s="1"/>
      <c r="L116" s="1"/>
    </row>
    <row r="120" spans="2:28" x14ac:dyDescent="0.3">
      <c r="B120" s="1"/>
      <c r="D120" s="1"/>
      <c r="E120" s="1"/>
      <c r="G120" s="1"/>
      <c r="H120" s="1"/>
      <c r="I120" s="1"/>
      <c r="J120" s="1"/>
      <c r="K120" s="1"/>
      <c r="L120" s="1"/>
    </row>
    <row r="121" spans="2:28" x14ac:dyDescent="0.3">
      <c r="R121" s="1"/>
      <c r="T121" s="1"/>
      <c r="U121" s="1"/>
      <c r="W121" s="1"/>
      <c r="X121" s="1"/>
      <c r="Y121" s="1"/>
      <c r="Z121" s="1"/>
      <c r="AA121" s="1"/>
      <c r="AB121" s="1"/>
    </row>
    <row r="122" spans="2:28" x14ac:dyDescent="0.3">
      <c r="R122" s="1"/>
      <c r="T122" s="1"/>
      <c r="U122" s="1"/>
      <c r="W122" s="1"/>
      <c r="X122" s="1"/>
      <c r="Y122" s="1"/>
      <c r="Z122" s="1"/>
      <c r="AA122" s="1"/>
      <c r="AB122" s="1"/>
    </row>
    <row r="123" spans="2:28" x14ac:dyDescent="0.3">
      <c r="B123" s="1"/>
      <c r="D123" s="1"/>
      <c r="E123" s="1"/>
      <c r="G123" s="1"/>
      <c r="H123" s="1"/>
      <c r="I123" s="1"/>
      <c r="J123" s="1"/>
      <c r="K123" s="1"/>
      <c r="L123" s="1"/>
    </row>
    <row r="127" spans="2:28" x14ac:dyDescent="0.3">
      <c r="B127" s="1"/>
      <c r="D127" s="1"/>
      <c r="E127" s="1"/>
      <c r="G127" s="1"/>
      <c r="H127" s="1"/>
      <c r="I127" s="1"/>
      <c r="J127" s="1"/>
      <c r="K127" s="1"/>
      <c r="L127" s="1"/>
    </row>
    <row r="128" spans="2:28" x14ac:dyDescent="0.3">
      <c r="R128" s="1"/>
      <c r="T128" s="1"/>
      <c r="U128" s="1"/>
      <c r="W128" s="1"/>
      <c r="X128" s="1"/>
      <c r="Y128" s="1"/>
      <c r="Z128" s="1"/>
      <c r="AA128" s="1"/>
      <c r="AB128" s="1"/>
    </row>
    <row r="129" spans="2:28" x14ac:dyDescent="0.3">
      <c r="R129" s="1"/>
      <c r="T129" s="1"/>
      <c r="U129" s="1"/>
      <c r="W129" s="1"/>
      <c r="X129" s="1"/>
      <c r="Y129" s="1"/>
      <c r="Z129" s="1"/>
      <c r="AA129" s="1"/>
      <c r="AB129" s="1"/>
    </row>
    <row r="130" spans="2:28" x14ac:dyDescent="0.3">
      <c r="B130" s="1"/>
      <c r="D130" s="1"/>
      <c r="E130" s="1"/>
      <c r="G130" s="1"/>
      <c r="H130" s="1"/>
      <c r="I130" s="1"/>
      <c r="J130" s="1"/>
      <c r="K130" s="1"/>
      <c r="L130" s="1"/>
    </row>
    <row r="135" spans="2:28" x14ac:dyDescent="0.3">
      <c r="R135" s="1"/>
      <c r="T135" s="1"/>
      <c r="U135" s="1"/>
      <c r="W135" s="1"/>
      <c r="X135" s="1"/>
      <c r="Y135" s="1"/>
      <c r="Z135" s="1"/>
      <c r="AA135" s="1"/>
      <c r="AB135" s="1"/>
    </row>
    <row r="136" spans="2:28" x14ac:dyDescent="0.3">
      <c r="R136" s="1"/>
      <c r="T136" s="1"/>
      <c r="U136" s="1"/>
      <c r="W136" s="1"/>
      <c r="X136" s="1"/>
      <c r="Y136" s="1"/>
      <c r="Z136" s="1"/>
      <c r="AA136" s="1"/>
      <c r="AB136" s="1"/>
    </row>
    <row r="137" spans="2:28" x14ac:dyDescent="0.3">
      <c r="B137" s="1"/>
      <c r="D137" s="1"/>
      <c r="E137" s="1"/>
      <c r="G137" s="1"/>
      <c r="H137" s="1"/>
      <c r="I137" s="1"/>
      <c r="J137" s="1"/>
      <c r="K137" s="1"/>
      <c r="L137" s="1"/>
    </row>
    <row r="142" spans="2:28" x14ac:dyDescent="0.3">
      <c r="R142" s="1"/>
      <c r="T142" s="1"/>
      <c r="U142" s="1"/>
      <c r="W142" s="1"/>
      <c r="X142" s="1"/>
      <c r="Y142" s="1"/>
      <c r="Z142" s="1"/>
      <c r="AA142" s="1"/>
      <c r="AB142" s="1"/>
    </row>
    <row r="143" spans="2:28" x14ac:dyDescent="0.3">
      <c r="R143" s="1"/>
      <c r="T143" s="1"/>
      <c r="U143" s="1"/>
      <c r="W143" s="1"/>
      <c r="X143" s="1"/>
      <c r="Y143" s="1"/>
      <c r="Z143" s="1"/>
      <c r="AA143" s="1"/>
      <c r="AB143" s="1"/>
    </row>
    <row r="144" spans="2:28" x14ac:dyDescent="0.3">
      <c r="B144" s="1"/>
      <c r="D144" s="1"/>
      <c r="E144" s="1"/>
      <c r="G144" s="1"/>
      <c r="H144" s="1"/>
      <c r="I144" s="1"/>
      <c r="J144" s="1"/>
      <c r="K144" s="1"/>
      <c r="L144" s="1"/>
    </row>
    <row r="150" spans="2:28" x14ac:dyDescent="0.3">
      <c r="R150" s="1"/>
      <c r="T150" s="1"/>
      <c r="U150" s="1"/>
      <c r="W150" s="1"/>
      <c r="X150" s="1"/>
      <c r="Y150" s="1"/>
      <c r="Z150" s="1"/>
      <c r="AA150" s="1"/>
      <c r="AB150" s="1"/>
    </row>
    <row r="151" spans="2:28" x14ac:dyDescent="0.3">
      <c r="B151" s="1"/>
      <c r="D151" s="1"/>
      <c r="E151" s="1"/>
      <c r="G151" s="1"/>
      <c r="H151" s="1"/>
      <c r="I151" s="1"/>
      <c r="J151" s="1"/>
      <c r="K151" s="1"/>
      <c r="L151" s="1"/>
    </row>
    <row r="152" spans="2:28" x14ac:dyDescent="0.3">
      <c r="R152" s="1"/>
      <c r="T152" s="1"/>
      <c r="U152" s="1"/>
      <c r="W152" s="1"/>
      <c r="X152" s="1"/>
      <c r="Y152" s="1"/>
      <c r="Z152" s="1"/>
      <c r="AA152" s="1"/>
      <c r="AB152" s="1"/>
    </row>
    <row r="154" spans="2:28" x14ac:dyDescent="0.3">
      <c r="B154" s="1"/>
      <c r="D154" s="1"/>
      <c r="E154" s="1"/>
      <c r="G154" s="1"/>
      <c r="H154" s="1"/>
      <c r="I154" s="1"/>
      <c r="J154" s="1"/>
      <c r="K154" s="1"/>
      <c r="L154" s="1"/>
    </row>
    <row r="157" spans="2:28" x14ac:dyDescent="0.3">
      <c r="R157" s="1"/>
      <c r="T157" s="1"/>
      <c r="U157" s="1"/>
      <c r="W157" s="1"/>
      <c r="X157" s="1"/>
      <c r="Y157" s="1"/>
      <c r="Z157" s="1"/>
      <c r="AA157" s="1"/>
      <c r="AB157" s="1"/>
    </row>
    <row r="158" spans="2:28" x14ac:dyDescent="0.3">
      <c r="B158" s="1"/>
      <c r="D158" s="1"/>
      <c r="E158" s="1"/>
      <c r="G158" s="1"/>
      <c r="H158" s="1"/>
      <c r="I158" s="1"/>
      <c r="J158" s="1"/>
      <c r="K158" s="1"/>
      <c r="L158" s="1"/>
    </row>
    <row r="159" spans="2:28" x14ac:dyDescent="0.3">
      <c r="R159" s="1"/>
      <c r="T159" s="1"/>
      <c r="U159" s="1"/>
      <c r="W159" s="1"/>
      <c r="X159" s="1"/>
      <c r="Y159" s="1"/>
      <c r="Z159" s="1"/>
      <c r="AA159" s="1"/>
      <c r="AB159" s="1"/>
    </row>
    <row r="161" spans="2:28" x14ac:dyDescent="0.3">
      <c r="B161" s="1"/>
      <c r="D161" s="1"/>
      <c r="E161" s="1"/>
      <c r="G161" s="1"/>
      <c r="H161" s="1"/>
      <c r="I161" s="1"/>
      <c r="J161" s="1"/>
      <c r="K161" s="1"/>
      <c r="L161" s="1"/>
    </row>
    <row r="164" spans="2:28" x14ac:dyDescent="0.3">
      <c r="R164" s="1"/>
      <c r="T164" s="1"/>
      <c r="U164" s="1"/>
      <c r="W164" s="1"/>
      <c r="X164" s="1"/>
      <c r="Y164" s="1"/>
      <c r="Z164" s="1"/>
      <c r="AA164" s="1"/>
      <c r="AB164" s="1"/>
    </row>
    <row r="165" spans="2:28" x14ac:dyDescent="0.3">
      <c r="B165" s="1"/>
      <c r="D165" s="1"/>
      <c r="E165" s="1"/>
      <c r="G165" s="1"/>
      <c r="H165" s="1"/>
      <c r="I165" s="1"/>
      <c r="J165" s="1"/>
      <c r="K165" s="1"/>
      <c r="L165" s="1"/>
    </row>
    <row r="166" spans="2:28" x14ac:dyDescent="0.3">
      <c r="R166" s="1"/>
      <c r="T166" s="1"/>
      <c r="U166" s="1"/>
      <c r="W166" s="1"/>
      <c r="X166" s="1"/>
      <c r="Y166" s="1"/>
      <c r="Z166" s="1"/>
      <c r="AA166" s="1"/>
      <c r="AB166" s="1"/>
    </row>
    <row r="168" spans="2:28" x14ac:dyDescent="0.3">
      <c r="B168" s="1"/>
      <c r="D168" s="1"/>
      <c r="E168" s="1"/>
      <c r="G168" s="1"/>
      <c r="H168" s="1"/>
      <c r="I168" s="1"/>
      <c r="J168" s="1"/>
      <c r="K168" s="1"/>
      <c r="L168" s="1"/>
    </row>
    <row r="172" spans="2:28" x14ac:dyDescent="0.3">
      <c r="B172" s="1"/>
      <c r="D172" s="1"/>
      <c r="E172" s="1"/>
      <c r="G172" s="1"/>
      <c r="H172" s="1"/>
      <c r="I172" s="1"/>
      <c r="J172" s="1"/>
      <c r="K172" s="1"/>
      <c r="L172" s="1"/>
    </row>
    <row r="173" spans="2:28" x14ac:dyDescent="0.3">
      <c r="R173" s="1"/>
      <c r="T173" s="1"/>
      <c r="U173" s="1"/>
      <c r="W173" s="1"/>
      <c r="X173" s="1"/>
      <c r="Y173" s="1"/>
      <c r="Z173" s="1"/>
      <c r="AA173" s="1"/>
      <c r="AB173" s="1"/>
    </row>
    <row r="174" spans="2:28" x14ac:dyDescent="0.3">
      <c r="R174" s="1"/>
      <c r="T174" s="1"/>
      <c r="U174" s="1"/>
      <c r="W174" s="1"/>
      <c r="X174" s="1"/>
      <c r="Y174" s="1"/>
      <c r="Z174" s="1"/>
      <c r="AA174" s="1"/>
      <c r="AB174" s="1"/>
    </row>
    <row r="175" spans="2:28" x14ac:dyDescent="0.3">
      <c r="B175" s="1"/>
      <c r="D175" s="1"/>
      <c r="E175" s="1"/>
      <c r="G175" s="1"/>
      <c r="H175" s="1"/>
      <c r="I175" s="1"/>
      <c r="J175" s="1"/>
      <c r="K175" s="1"/>
      <c r="L175" s="1"/>
    </row>
    <row r="179" spans="2:28" x14ac:dyDescent="0.3">
      <c r="B179" s="1"/>
      <c r="D179" s="1"/>
      <c r="E179" s="1"/>
      <c r="G179" s="1"/>
      <c r="H179" s="1"/>
      <c r="I179" s="1"/>
      <c r="J179" s="1"/>
      <c r="K179" s="1"/>
      <c r="L179" s="1"/>
    </row>
    <row r="181" spans="2:28" x14ac:dyDescent="0.3">
      <c r="R181" s="1"/>
      <c r="T181" s="1"/>
      <c r="U181" s="1"/>
      <c r="W181" s="1"/>
      <c r="X181" s="1"/>
      <c r="Y181" s="1"/>
      <c r="Z181" s="1"/>
      <c r="AA181" s="1"/>
      <c r="AB181" s="1"/>
    </row>
    <row r="185" spans="2:28" x14ac:dyDescent="0.3">
      <c r="B185" s="1"/>
      <c r="D185" s="1"/>
      <c r="E185" s="1"/>
      <c r="G185" s="1"/>
      <c r="H185" s="1"/>
      <c r="I185" s="1"/>
      <c r="J185" s="1"/>
      <c r="K185" s="1"/>
      <c r="L185" s="1"/>
    </row>
    <row r="188" spans="2:28" x14ac:dyDescent="0.3">
      <c r="R188" s="1"/>
      <c r="T188" s="1"/>
      <c r="U188" s="1"/>
      <c r="W188" s="1"/>
      <c r="X188" s="1"/>
      <c r="Y188" s="1"/>
      <c r="Z188" s="1"/>
      <c r="AA188" s="1"/>
      <c r="AB188" s="1"/>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Q188"/>
  <sheetViews>
    <sheetView topLeftCell="AH1" workbookViewId="0">
      <selection activeCell="AM11" sqref="AM11"/>
    </sheetView>
  </sheetViews>
  <sheetFormatPr defaultRowHeight="14.4" x14ac:dyDescent="0.3"/>
  <cols>
    <col min="1" max="1" width="17.77734375" bestFit="1" customWidth="1"/>
    <col min="3" max="3" width="20.21875" bestFit="1" customWidth="1"/>
    <col min="4" max="4" width="18.6640625" bestFit="1" customWidth="1"/>
    <col min="5" max="5" width="16.5546875" bestFit="1" customWidth="1"/>
    <col min="6" max="6" width="20" bestFit="1" customWidth="1"/>
    <col min="7" max="7" width="22.44140625" bestFit="1" customWidth="1"/>
    <col min="8" max="8" width="16.5546875" bestFit="1" customWidth="1"/>
    <col min="9" max="9" width="31.77734375" bestFit="1" customWidth="1"/>
    <col min="10" max="10" width="16.5546875" bestFit="1" customWidth="1"/>
    <col min="11" max="11" width="26.5546875" bestFit="1" customWidth="1"/>
    <col min="12" max="12" width="16.5546875" bestFit="1" customWidth="1"/>
    <col min="19" max="19" width="20.21875" bestFit="1" customWidth="1"/>
    <col min="20" max="20" width="18.6640625" bestFit="1" customWidth="1"/>
    <col min="21" max="21" width="16.5546875" bestFit="1" customWidth="1"/>
    <col min="22" max="22" width="20" bestFit="1" customWidth="1"/>
    <col min="23" max="23" width="22.44140625" bestFit="1" customWidth="1"/>
    <col min="24" max="24" width="16.5546875" bestFit="1" customWidth="1"/>
    <col min="25" max="25" width="31.77734375" bestFit="1" customWidth="1"/>
    <col min="26" max="26" width="16.5546875" bestFit="1" customWidth="1"/>
    <col min="27" max="27" width="26.5546875" bestFit="1" customWidth="1"/>
    <col min="28" max="28" width="16.5546875" bestFit="1" customWidth="1"/>
    <col min="31" max="31" width="31.21875" bestFit="1" customWidth="1"/>
    <col min="32" max="32" width="20.21875" bestFit="1" customWidth="1"/>
    <col min="33" max="33" width="18.6640625" bestFit="1" customWidth="1"/>
    <col min="34" max="34" width="16.5546875" bestFit="1" customWidth="1"/>
    <col min="35" max="35" width="20" bestFit="1" customWidth="1"/>
    <col min="36" max="36" width="23.44140625" bestFit="1" customWidth="1"/>
    <col min="37" max="37" width="20.6640625" bestFit="1" customWidth="1"/>
    <col min="38" max="38" width="14.6640625" bestFit="1" customWidth="1"/>
    <col min="39" max="39" width="18.6640625" bestFit="1" customWidth="1"/>
    <col min="40" max="40" width="11.5546875" bestFit="1" customWidth="1"/>
    <col min="41" max="41" width="26.5546875" bestFit="1" customWidth="1"/>
    <col min="42" max="42" width="16.5546875" bestFit="1" customWidth="1"/>
    <col min="43" max="43" width="25.5546875" bestFit="1" customWidth="1"/>
  </cols>
  <sheetData>
    <row r="4" spans="2:43" ht="25.8" x14ac:dyDescent="0.5">
      <c r="B4" s="4" t="s">
        <v>11</v>
      </c>
      <c r="R4" s="4" t="s">
        <v>12</v>
      </c>
      <c r="AE4" s="3" t="s">
        <v>13</v>
      </c>
    </row>
    <row r="7" spans="2:43" ht="18" x14ac:dyDescent="0.35">
      <c r="B7" t="s">
        <v>1</v>
      </c>
      <c r="C7" t="s">
        <v>2</v>
      </c>
      <c r="D7" t="s">
        <v>3</v>
      </c>
      <c r="E7" t="s">
        <v>4</v>
      </c>
      <c r="F7" t="s">
        <v>5</v>
      </c>
      <c r="G7" t="s">
        <v>6</v>
      </c>
      <c r="H7" t="s">
        <v>14</v>
      </c>
      <c r="I7" t="s">
        <v>7</v>
      </c>
      <c r="J7" t="s">
        <v>4</v>
      </c>
      <c r="K7" t="s">
        <v>8</v>
      </c>
      <c r="L7" t="s">
        <v>4</v>
      </c>
      <c r="R7" t="s">
        <v>1</v>
      </c>
      <c r="S7" t="s">
        <v>2</v>
      </c>
      <c r="T7" t="s">
        <v>3</v>
      </c>
      <c r="U7" t="s">
        <v>4</v>
      </c>
      <c r="V7" t="s">
        <v>5</v>
      </c>
      <c r="W7" t="s">
        <v>6</v>
      </c>
      <c r="X7" t="s">
        <v>14</v>
      </c>
      <c r="Y7" t="s">
        <v>7</v>
      </c>
      <c r="Z7" t="s">
        <v>4</v>
      </c>
      <c r="AA7" t="s">
        <v>8</v>
      </c>
      <c r="AB7" t="s">
        <v>4</v>
      </c>
      <c r="AE7" t="s">
        <v>1</v>
      </c>
      <c r="AF7" t="s">
        <v>2</v>
      </c>
      <c r="AG7" t="s">
        <v>3</v>
      </c>
      <c r="AH7" t="s">
        <v>4</v>
      </c>
      <c r="AI7" t="s">
        <v>5</v>
      </c>
      <c r="AJ7" s="6" t="s">
        <v>6</v>
      </c>
      <c r="AK7" s="6" t="s">
        <v>15</v>
      </c>
      <c r="AL7" s="2" t="s">
        <v>16</v>
      </c>
      <c r="AM7" s="2" t="s">
        <v>58</v>
      </c>
      <c r="AN7" s="2" t="s">
        <v>17</v>
      </c>
      <c r="AO7" t="s">
        <v>8</v>
      </c>
      <c r="AP7" t="s">
        <v>4</v>
      </c>
      <c r="AQ7" s="18" t="s">
        <v>125</v>
      </c>
    </row>
    <row r="8" spans="2:43" ht="18" x14ac:dyDescent="0.35">
      <c r="B8" s="1"/>
      <c r="D8" s="1"/>
      <c r="E8" s="1"/>
      <c r="G8" s="1"/>
      <c r="H8" s="1"/>
      <c r="I8" s="1"/>
      <c r="J8" s="1"/>
      <c r="K8" s="1"/>
      <c r="L8" s="1"/>
      <c r="R8" s="1"/>
      <c r="T8" s="1"/>
      <c r="U8" s="1"/>
      <c r="W8" s="1"/>
      <c r="X8" s="1"/>
      <c r="Y8" s="1"/>
      <c r="Z8" s="1"/>
      <c r="AA8" s="1"/>
      <c r="AB8" s="1"/>
      <c r="AE8" s="1"/>
      <c r="AG8" s="1"/>
      <c r="AH8" s="1"/>
      <c r="AI8" s="5"/>
      <c r="AJ8" s="7"/>
      <c r="AK8" s="7"/>
      <c r="AL8" s="8"/>
      <c r="AM8" s="8"/>
      <c r="AN8" s="8"/>
      <c r="AO8" s="1"/>
      <c r="AP8" s="1"/>
      <c r="AQ8" s="12"/>
    </row>
    <row r="9" spans="2:43" ht="18" x14ac:dyDescent="0.35">
      <c r="B9" s="1">
        <v>5.0000000000000001E-9</v>
      </c>
      <c r="C9">
        <v>1000</v>
      </c>
      <c r="D9" s="1">
        <v>3.438724E-13</v>
      </c>
      <c r="E9" s="1">
        <v>2.9242240000000001E-12</v>
      </c>
      <c r="F9">
        <v>19</v>
      </c>
      <c r="G9" s="1">
        <v>1.9E-2</v>
      </c>
      <c r="H9" s="1">
        <v>0.13659299999999999</v>
      </c>
      <c r="I9" s="1">
        <v>1.734492E-3</v>
      </c>
      <c r="J9" s="1">
        <v>1.7109459999999999E-4</v>
      </c>
      <c r="K9" s="1">
        <v>2.6835940000000001E-3</v>
      </c>
      <c r="L9" s="1">
        <v>6.3215899999999998E-4</v>
      </c>
      <c r="R9" s="1">
        <v>5.0000000000000001E-9</v>
      </c>
      <c r="S9">
        <v>1000</v>
      </c>
      <c r="T9" s="1">
        <v>4.2199239999999999E-12</v>
      </c>
      <c r="U9" s="1">
        <v>8.6418390000000005E-12</v>
      </c>
      <c r="V9">
        <v>314</v>
      </c>
      <c r="W9" s="1">
        <v>0.314</v>
      </c>
      <c r="X9" s="1">
        <v>0.56544119999999998</v>
      </c>
      <c r="Y9" s="1">
        <v>1.0888180000000001E-2</v>
      </c>
      <c r="Z9" s="1">
        <v>5.1177890000000004E-4</v>
      </c>
      <c r="AA9" s="1">
        <v>2.7513590000000001E-3</v>
      </c>
      <c r="AB9" s="1">
        <v>6.6102200000000004E-4</v>
      </c>
      <c r="AE9" s="1">
        <f>R9</f>
        <v>5.0000000000000001E-9</v>
      </c>
      <c r="AF9">
        <f>S9</f>
        <v>1000</v>
      </c>
      <c r="AG9" s="1">
        <f>T9-D9</f>
        <v>3.8760515999999999E-12</v>
      </c>
      <c r="AH9" s="1">
        <f>(U9+E9)/2</f>
        <v>5.7830315000000003E-12</v>
      </c>
      <c r="AI9" s="5">
        <f>V9-F9</f>
        <v>295</v>
      </c>
      <c r="AJ9" s="7">
        <f>AI9/AF9</f>
        <v>0.29499999999999998</v>
      </c>
      <c r="AK9" s="7">
        <f>SQRT((1/SQRT(AI9))^2+((SQRT(F9))/(AI9))^2)</f>
        <v>6.0067949649726615E-2</v>
      </c>
      <c r="AL9" s="8">
        <f>AJ9</f>
        <v>0.29499999999999998</v>
      </c>
      <c r="AM9" s="8">
        <f>AL9*6590000</f>
        <v>1944050</v>
      </c>
      <c r="AN9" s="8">
        <f>AM9*AK9</f>
        <v>116775.09751655103</v>
      </c>
      <c r="AO9" s="1">
        <f>(AA9+K9)/2</f>
        <v>2.7174765000000001E-3</v>
      </c>
      <c r="AP9" s="1">
        <f>(AB9+L9)/2</f>
        <v>6.4659050000000001E-4</v>
      </c>
      <c r="AQ9" s="12">
        <f>AO9*7/170*1000</f>
        <v>0.11189609117647059</v>
      </c>
    </row>
    <row r="10" spans="2:43" ht="18" x14ac:dyDescent="0.35">
      <c r="B10" s="1">
        <f>B22</f>
        <v>1.7999999999999999E-2</v>
      </c>
      <c r="C10">
        <f>C22+C29+C36+C43+C50+C57+C64+C71</f>
        <v>8000</v>
      </c>
      <c r="D10" s="1">
        <f>SUM(D22+D29+D36+D43+D50+D57+D64+D71)/8</f>
        <v>2.8034418750000004E-13</v>
      </c>
      <c r="E10" s="1">
        <f>SUM(E22+E29+E36+E43+E50+E57+E64+E71)/8</f>
        <v>3.2946881249999997E-12</v>
      </c>
      <c r="F10">
        <f>F22+F29+F36+F43+F50+F57+F64+F71</f>
        <v>84</v>
      </c>
      <c r="G10" s="1">
        <f>F10/C10</f>
        <v>1.0500000000000001E-2</v>
      </c>
      <c r="H10" s="1">
        <f>SQRT(F10)</f>
        <v>9.1651513899116797</v>
      </c>
      <c r="I10" s="1">
        <f>SUM(I22+I29+I36+I43+I50+I57+I64+I71)/8</f>
        <v>1.7192197499999997E-3</v>
      </c>
      <c r="J10" s="1">
        <f>SUM(J22+J29+J36+J43+J50+J57+J64+J71)/8</f>
        <v>1.6361275E-4</v>
      </c>
      <c r="K10" s="1">
        <f>SUM(K22+K29+K36+K43+K50+K57+K64+K71)/8</f>
        <v>7.6328758750000003E-3</v>
      </c>
      <c r="L10" s="1">
        <f>SUM(L22+L29+L36+L43+L50+L57+L64+L71)/8</f>
        <v>1.0207216999999998E-3</v>
      </c>
      <c r="R10" s="1">
        <f>R22</f>
        <v>1.7999999999999999E-2</v>
      </c>
      <c r="S10">
        <f>S22+S29+S36+S43+S50+S57+S64+S71</f>
        <v>8000</v>
      </c>
      <c r="T10" s="1">
        <f>SUM(T22+T29+T36+T43+T50+T57+T64+T71)/8</f>
        <v>3.3847926250000002E-13</v>
      </c>
      <c r="U10" s="1">
        <f>SUM(U22+U29+U36+U43+U50+U57+U64+U71)/8</f>
        <v>3.659570125E-12</v>
      </c>
      <c r="V10">
        <f>V22+V29+V36+V43+V50+V57+V64+V71</f>
        <v>107</v>
      </c>
      <c r="W10" s="1">
        <f>V10/S10</f>
        <v>1.3375E-2</v>
      </c>
      <c r="X10" s="1">
        <f>SQRT(V10)</f>
        <v>10.344080432788601</v>
      </c>
      <c r="Y10" s="1">
        <f>SUM(Y22+Y29+Y36+Y43+Y50+Y57+Y64+Y71)/8</f>
        <v>1.092504E-2</v>
      </c>
      <c r="Z10" s="1">
        <f>SUM(Z22+Z29+Z36+Z43+Z50+Z57+Z64+Z71)/8</f>
        <v>5.4038153749999995E-4</v>
      </c>
      <c r="AA10" s="1">
        <f>SUM(AA22+AA29+AA36+AA43+AA50+AA57+AA64+AA71)/8</f>
        <v>7.4483179999999998E-3</v>
      </c>
      <c r="AB10" s="1">
        <f>SUM(AB22+AB29+AB36+AB43+AB50+AB57+AB64+AB71)/8</f>
        <v>9.7957986250000019E-4</v>
      </c>
      <c r="AE10" s="1">
        <f>R10</f>
        <v>1.7999999999999999E-2</v>
      </c>
      <c r="AF10">
        <f>S10</f>
        <v>8000</v>
      </c>
      <c r="AG10" s="1">
        <f>T10-D10</f>
        <v>5.8135074999999977E-14</v>
      </c>
      <c r="AH10" s="1">
        <f>(U10+E10)/2</f>
        <v>3.477129125E-12</v>
      </c>
      <c r="AI10" s="5">
        <f>V10-F10</f>
        <v>23</v>
      </c>
      <c r="AJ10" s="7">
        <f>AI10/AF10</f>
        <v>2.875E-3</v>
      </c>
      <c r="AK10" s="7">
        <f>SQRT((1/SQRT(AI10))^2+((SQRT(F10))/(AI10))^2)</f>
        <v>0.44974262751254784</v>
      </c>
      <c r="AL10" s="8">
        <f>AJ10</f>
        <v>2.875E-3</v>
      </c>
      <c r="AM10" s="8">
        <f>AL10*594000</f>
        <v>1707.75</v>
      </c>
      <c r="AN10" s="8">
        <f>AM10*AK10</f>
        <v>768.04797213455356</v>
      </c>
      <c r="AO10" s="1">
        <f>(AA10+K10)/2</f>
        <v>7.5405969374999996E-3</v>
      </c>
      <c r="AP10" s="1">
        <f>(AB10+L10)/2</f>
        <v>1.00015078125E-3</v>
      </c>
      <c r="AQ10" s="12">
        <f>AO10*7/170*1000</f>
        <v>0.31049516801470589</v>
      </c>
    </row>
    <row r="11" spans="2:43" ht="18" x14ac:dyDescent="0.35">
      <c r="B11" s="1"/>
      <c r="D11" s="1"/>
      <c r="E11" s="1"/>
      <c r="G11" s="1"/>
      <c r="H11" s="1"/>
      <c r="I11" s="1"/>
      <c r="J11" s="1"/>
      <c r="K11" s="1"/>
      <c r="L11" s="1"/>
      <c r="R11" s="1"/>
      <c r="T11" s="1"/>
      <c r="U11" s="1"/>
      <c r="W11" s="1"/>
      <c r="X11" s="1"/>
      <c r="Y11" s="1"/>
      <c r="Z11" s="1"/>
      <c r="AA11" s="1"/>
      <c r="AB11" s="1"/>
      <c r="AE11" s="1"/>
      <c r="AG11" s="1"/>
      <c r="AH11" s="1"/>
      <c r="AI11" s="5"/>
      <c r="AJ11" s="7"/>
      <c r="AK11" s="7"/>
      <c r="AL11" s="8"/>
      <c r="AM11" s="8"/>
      <c r="AN11" s="8"/>
      <c r="AO11" s="1"/>
      <c r="AP11" s="1"/>
      <c r="AQ11" s="12"/>
    </row>
    <row r="12" spans="2:43" ht="18" x14ac:dyDescent="0.35">
      <c r="B12" s="1"/>
      <c r="D12" s="1"/>
      <c r="E12" s="1"/>
      <c r="G12" s="1"/>
      <c r="H12" s="1"/>
      <c r="I12" s="1"/>
      <c r="J12" s="1"/>
      <c r="K12" s="1"/>
      <c r="L12" s="1"/>
      <c r="R12" s="1"/>
      <c r="T12" s="1"/>
      <c r="U12" s="1"/>
      <c r="W12" s="1"/>
      <c r="X12" s="1"/>
      <c r="Y12" s="1"/>
      <c r="Z12" s="1"/>
      <c r="AA12" s="1"/>
      <c r="AB12" s="1"/>
      <c r="AE12" s="1"/>
      <c r="AG12" s="1"/>
      <c r="AH12" s="1"/>
      <c r="AI12" s="5"/>
      <c r="AJ12" s="7"/>
      <c r="AK12" s="7"/>
      <c r="AL12" s="8"/>
      <c r="AM12" s="8"/>
      <c r="AN12" s="8"/>
      <c r="AO12" s="1"/>
      <c r="AP12" s="1"/>
      <c r="AQ12" s="12"/>
    </row>
    <row r="13" spans="2:43" ht="18" x14ac:dyDescent="0.35">
      <c r="B13" s="1"/>
      <c r="D13" s="1"/>
      <c r="E13" s="1"/>
      <c r="G13" s="1"/>
      <c r="H13" s="1"/>
      <c r="I13" s="1"/>
      <c r="J13" s="1"/>
      <c r="K13" s="1"/>
      <c r="L13" s="1"/>
      <c r="R13" s="1"/>
      <c r="T13" s="1"/>
      <c r="U13" s="1"/>
      <c r="W13" s="1"/>
      <c r="X13" s="1"/>
      <c r="Y13" s="1"/>
      <c r="Z13" s="1"/>
      <c r="AA13" s="1"/>
      <c r="AB13" s="1"/>
      <c r="AE13" s="1"/>
      <c r="AG13" s="1"/>
      <c r="AH13" s="1"/>
      <c r="AI13" s="5"/>
      <c r="AJ13" s="7"/>
      <c r="AK13" s="7"/>
      <c r="AL13" s="8"/>
      <c r="AM13" s="8"/>
      <c r="AN13" s="8"/>
      <c r="AO13" s="1"/>
      <c r="AP13" s="1"/>
      <c r="AQ13" s="12"/>
    </row>
    <row r="14" spans="2:43" ht="23.4" x14ac:dyDescent="0.45">
      <c r="B14" s="46"/>
      <c r="D14" s="1"/>
      <c r="E14" s="1"/>
      <c r="G14" s="1"/>
      <c r="H14" s="1"/>
      <c r="I14" s="1"/>
      <c r="J14" s="1"/>
      <c r="K14" s="1"/>
      <c r="L14" s="1"/>
      <c r="R14" s="1"/>
      <c r="T14" s="1"/>
      <c r="U14" s="1"/>
      <c r="W14" s="1"/>
      <c r="X14" s="1"/>
      <c r="Y14" s="1"/>
      <c r="Z14" s="1"/>
      <c r="AA14" s="1"/>
      <c r="AB14" s="1"/>
      <c r="AE14" s="1"/>
      <c r="AG14" s="1"/>
      <c r="AH14" s="1"/>
      <c r="AI14" s="5"/>
      <c r="AJ14" s="7"/>
      <c r="AK14" s="7"/>
      <c r="AL14" s="45"/>
      <c r="AM14" s="8"/>
      <c r="AN14" s="8"/>
      <c r="AO14" s="1"/>
      <c r="AP14" s="1"/>
      <c r="AQ14" s="12"/>
    </row>
    <row r="15" spans="2:43" ht="18" x14ac:dyDescent="0.35">
      <c r="B15" s="1"/>
      <c r="D15" s="1"/>
      <c r="E15" s="1"/>
      <c r="G15" s="1"/>
      <c r="H15" s="1"/>
      <c r="I15" s="1"/>
      <c r="J15" s="1"/>
      <c r="K15" s="1"/>
      <c r="L15" s="1"/>
      <c r="R15" s="1"/>
      <c r="T15" s="1"/>
      <c r="U15" s="1"/>
      <c r="W15" s="1"/>
      <c r="X15" s="1"/>
      <c r="Y15" s="1"/>
      <c r="Z15" s="1"/>
      <c r="AA15" s="1"/>
      <c r="AB15" s="1"/>
      <c r="AE15" s="1"/>
      <c r="AG15" s="1"/>
      <c r="AH15" s="1"/>
      <c r="AI15" s="5"/>
      <c r="AJ15" s="7"/>
      <c r="AK15" s="7"/>
      <c r="AL15" s="8"/>
      <c r="AM15" s="8"/>
      <c r="AN15" s="8"/>
      <c r="AO15" s="1"/>
      <c r="AP15" s="1"/>
      <c r="AQ15" s="12"/>
    </row>
    <row r="16" spans="2:43" x14ac:dyDescent="0.3">
      <c r="B16" s="1" t="s">
        <v>0</v>
      </c>
      <c r="D16" s="1"/>
      <c r="E16" s="1"/>
      <c r="G16" s="1"/>
      <c r="H16" s="1"/>
      <c r="I16" s="1"/>
      <c r="J16" s="1"/>
      <c r="K16" s="1"/>
      <c r="L16" s="1"/>
      <c r="R16" s="1" t="s">
        <v>10</v>
      </c>
      <c r="T16" s="1"/>
      <c r="U16" s="1"/>
      <c r="W16" s="1"/>
      <c r="X16" s="1"/>
      <c r="Y16" s="1"/>
      <c r="Z16" s="1"/>
      <c r="AA16" s="1"/>
      <c r="AB16" s="1"/>
      <c r="AG16" s="1"/>
      <c r="AH16" s="1"/>
      <c r="AI16" s="5"/>
    </row>
    <row r="17" spans="2:28" x14ac:dyDescent="0.3">
      <c r="B17" t="s">
        <v>145</v>
      </c>
      <c r="R17" t="s">
        <v>145</v>
      </c>
    </row>
    <row r="18" spans="2:28" x14ac:dyDescent="0.3">
      <c r="D18" s="1"/>
      <c r="E18" s="1"/>
      <c r="T18" s="1"/>
      <c r="U18" s="1"/>
    </row>
    <row r="19" spans="2:28" x14ac:dyDescent="0.3">
      <c r="R19" s="1"/>
      <c r="T19" s="1"/>
      <c r="U19" s="1"/>
      <c r="W19" s="1"/>
      <c r="X19" s="1"/>
      <c r="Y19" s="1"/>
      <c r="Z19" s="1"/>
      <c r="AA19" s="1"/>
      <c r="AB19" s="1"/>
    </row>
    <row r="20" spans="2:28" x14ac:dyDescent="0.3">
      <c r="B20" s="1"/>
      <c r="C20">
        <v>0</v>
      </c>
      <c r="D20" s="1"/>
      <c r="E20" s="1"/>
      <c r="G20" s="1"/>
      <c r="H20" s="1"/>
      <c r="I20" s="1"/>
      <c r="J20" s="1"/>
      <c r="K20" s="1"/>
      <c r="L20" s="1"/>
      <c r="R20" s="1"/>
      <c r="S20">
        <v>0</v>
      </c>
      <c r="T20" s="1"/>
      <c r="U20" s="1"/>
      <c r="W20" s="1"/>
      <c r="X20" s="1"/>
      <c r="Y20" s="1"/>
      <c r="Z20" s="1"/>
      <c r="AA20" s="1"/>
      <c r="AB20" s="1"/>
    </row>
    <row r="21" spans="2:28" x14ac:dyDescent="0.3">
      <c r="B21" t="s">
        <v>1</v>
      </c>
      <c r="C21" t="s">
        <v>2</v>
      </c>
      <c r="D21" t="s">
        <v>3</v>
      </c>
      <c r="E21" t="s">
        <v>4</v>
      </c>
      <c r="F21" t="s">
        <v>5</v>
      </c>
      <c r="G21" t="s">
        <v>6</v>
      </c>
      <c r="H21" t="s">
        <v>4</v>
      </c>
      <c r="I21" t="s">
        <v>7</v>
      </c>
      <c r="J21" t="s">
        <v>4</v>
      </c>
      <c r="K21" t="s">
        <v>8</v>
      </c>
      <c r="L21" t="s">
        <v>4</v>
      </c>
      <c r="R21" t="s">
        <v>1</v>
      </c>
      <c r="S21" t="s">
        <v>2</v>
      </c>
      <c r="T21" t="s">
        <v>3</v>
      </c>
      <c r="U21" t="s">
        <v>4</v>
      </c>
      <c r="V21" t="s">
        <v>5</v>
      </c>
      <c r="W21" t="s">
        <v>6</v>
      </c>
      <c r="X21" t="s">
        <v>4</v>
      </c>
      <c r="Y21" t="s">
        <v>7</v>
      </c>
      <c r="Z21" t="s">
        <v>4</v>
      </c>
      <c r="AA21" t="s">
        <v>8</v>
      </c>
      <c r="AB21" t="s">
        <v>4</v>
      </c>
    </row>
    <row r="22" spans="2:28" x14ac:dyDescent="0.3">
      <c r="B22" s="1">
        <v>1.7999999999999999E-2</v>
      </c>
      <c r="C22">
        <v>1000</v>
      </c>
      <c r="D22" s="1">
        <v>2.149492E-13</v>
      </c>
      <c r="E22" s="1">
        <v>2.9031809999999999E-12</v>
      </c>
      <c r="F22">
        <v>9</v>
      </c>
      <c r="G22" s="1">
        <v>8.9999999999999993E-3</v>
      </c>
      <c r="H22" s="1">
        <v>0.10454629999999999</v>
      </c>
      <c r="I22" s="1">
        <v>1.7447649999999999E-3</v>
      </c>
      <c r="J22" s="1">
        <v>1.7172110000000001E-4</v>
      </c>
      <c r="K22" s="1">
        <v>7.0403389999999996E-3</v>
      </c>
      <c r="L22" s="1">
        <v>8.6796080000000003E-4</v>
      </c>
      <c r="R22" s="1">
        <v>1.7999999999999999E-2</v>
      </c>
      <c r="S22">
        <v>1000</v>
      </c>
      <c r="T22" s="1">
        <v>3.1887310000000001E-13</v>
      </c>
      <c r="U22" s="1">
        <v>3.3913340000000001E-12</v>
      </c>
      <c r="V22">
        <v>11</v>
      </c>
      <c r="W22" s="1">
        <v>1.0999999999999999E-2</v>
      </c>
      <c r="X22" s="1">
        <v>0.1135425</v>
      </c>
      <c r="Y22" s="1">
        <v>1.056108E-2</v>
      </c>
      <c r="Z22" s="1">
        <v>5.6569550000000002E-4</v>
      </c>
      <c r="AA22" s="1">
        <v>6.7809350000000001E-3</v>
      </c>
      <c r="AB22" s="1">
        <v>9.1069950000000001E-4</v>
      </c>
    </row>
    <row r="24" spans="2:28" x14ac:dyDescent="0.3">
      <c r="B24" t="s">
        <v>9</v>
      </c>
      <c r="R24" t="s">
        <v>9</v>
      </c>
    </row>
    <row r="26" spans="2:28" x14ac:dyDescent="0.3">
      <c r="R26" s="1"/>
      <c r="T26" s="1"/>
      <c r="U26" s="1"/>
      <c r="W26" s="1"/>
      <c r="X26" s="1"/>
      <c r="Y26" s="1"/>
      <c r="Z26" s="1"/>
      <c r="AA26" s="1"/>
      <c r="AB26" s="1"/>
    </row>
    <row r="27" spans="2:28" x14ac:dyDescent="0.3">
      <c r="B27" s="1"/>
      <c r="C27">
        <v>0</v>
      </c>
      <c r="D27" s="1"/>
      <c r="E27" s="1"/>
      <c r="G27" s="1"/>
      <c r="H27" s="1"/>
      <c r="I27" s="1"/>
      <c r="J27" s="1"/>
      <c r="K27" s="1"/>
      <c r="L27" s="1"/>
      <c r="R27" s="1"/>
      <c r="S27">
        <v>0</v>
      </c>
      <c r="T27" s="1"/>
      <c r="U27" s="1"/>
      <c r="W27" s="1"/>
      <c r="X27" s="1"/>
      <c r="Y27" s="1"/>
      <c r="Z27" s="1"/>
      <c r="AA27" s="1"/>
      <c r="AB27" s="1"/>
    </row>
    <row r="28" spans="2:28" x14ac:dyDescent="0.3">
      <c r="B28" t="s">
        <v>1</v>
      </c>
      <c r="C28" t="s">
        <v>2</v>
      </c>
      <c r="D28" t="s">
        <v>3</v>
      </c>
      <c r="E28" t="s">
        <v>4</v>
      </c>
      <c r="F28" t="s">
        <v>5</v>
      </c>
      <c r="G28" t="s">
        <v>6</v>
      </c>
      <c r="H28" t="s">
        <v>4</v>
      </c>
      <c r="I28" t="s">
        <v>7</v>
      </c>
      <c r="J28" t="s">
        <v>4</v>
      </c>
      <c r="K28" t="s">
        <v>8</v>
      </c>
      <c r="L28" t="s">
        <v>4</v>
      </c>
      <c r="R28" t="s">
        <v>1</v>
      </c>
      <c r="S28" t="s">
        <v>2</v>
      </c>
      <c r="T28" t="s">
        <v>3</v>
      </c>
      <c r="U28" t="s">
        <v>4</v>
      </c>
      <c r="V28" t="s">
        <v>5</v>
      </c>
      <c r="W28" t="s">
        <v>6</v>
      </c>
      <c r="X28" t="s">
        <v>4</v>
      </c>
      <c r="Y28" t="s">
        <v>7</v>
      </c>
      <c r="Z28" t="s">
        <v>4</v>
      </c>
      <c r="AA28" t="s">
        <v>8</v>
      </c>
      <c r="AB28" t="s">
        <v>4</v>
      </c>
    </row>
    <row r="29" spans="2:28" x14ac:dyDescent="0.3">
      <c r="B29" s="1">
        <v>1.7999999999999999E-2</v>
      </c>
      <c r="C29">
        <v>1000</v>
      </c>
      <c r="D29" s="1">
        <v>3.295034E-13</v>
      </c>
      <c r="E29" s="1">
        <v>3.5455950000000001E-12</v>
      </c>
      <c r="F29">
        <v>13</v>
      </c>
      <c r="G29" s="1">
        <v>1.2999999999999999E-2</v>
      </c>
      <c r="H29" s="1">
        <v>0.12184349999999999</v>
      </c>
      <c r="I29" s="1">
        <v>1.725051E-3</v>
      </c>
      <c r="J29" s="1">
        <v>1.5805290000000001E-4</v>
      </c>
      <c r="K29" s="1">
        <v>7.4252440000000001E-3</v>
      </c>
      <c r="L29" s="1">
        <v>9.8598380000000001E-4</v>
      </c>
      <c r="R29" s="1">
        <v>1.7999999999999999E-2</v>
      </c>
      <c r="S29">
        <v>1000</v>
      </c>
      <c r="T29" s="1">
        <v>1.904659E-13</v>
      </c>
      <c r="U29" s="1">
        <v>3.4826790000000001E-12</v>
      </c>
      <c r="V29">
        <v>9</v>
      </c>
      <c r="W29" s="1">
        <v>8.9999999999999993E-3</v>
      </c>
      <c r="X29" s="1">
        <v>9.4487710000000003E-2</v>
      </c>
      <c r="Y29" s="1">
        <v>1.088651E-2</v>
      </c>
      <c r="Z29" s="1">
        <v>5.4791590000000004E-4</v>
      </c>
      <c r="AA29" s="1">
        <v>7.4290390000000001E-3</v>
      </c>
      <c r="AB29" s="1">
        <v>9.5261949999999999E-4</v>
      </c>
    </row>
    <row r="31" spans="2:28" x14ac:dyDescent="0.3">
      <c r="B31" t="s">
        <v>9</v>
      </c>
      <c r="R31" t="s">
        <v>9</v>
      </c>
    </row>
    <row r="33" spans="2:28" x14ac:dyDescent="0.3">
      <c r="R33" s="1"/>
      <c r="T33" s="1"/>
      <c r="U33" s="1"/>
      <c r="W33" s="1"/>
      <c r="X33" s="1"/>
      <c r="Y33" s="1"/>
      <c r="Z33" s="1"/>
      <c r="AA33" s="1"/>
      <c r="AB33" s="1"/>
    </row>
    <row r="34" spans="2:28" x14ac:dyDescent="0.3">
      <c r="B34" s="1"/>
      <c r="C34">
        <v>0</v>
      </c>
      <c r="D34" s="1"/>
      <c r="E34" s="1"/>
      <c r="G34" s="1"/>
      <c r="H34" s="1"/>
      <c r="I34" s="1"/>
      <c r="J34" s="1"/>
      <c r="K34" s="1"/>
      <c r="L34" s="1"/>
      <c r="R34" s="1"/>
      <c r="S34">
        <v>0</v>
      </c>
      <c r="T34" s="1"/>
      <c r="U34" s="1"/>
      <c r="W34" s="1"/>
      <c r="X34" s="1"/>
      <c r="Y34" s="1"/>
      <c r="Z34" s="1"/>
      <c r="AA34" s="1"/>
      <c r="AB34" s="1"/>
    </row>
    <row r="35" spans="2:28" x14ac:dyDescent="0.3">
      <c r="B35" t="s">
        <v>1</v>
      </c>
      <c r="C35" t="s">
        <v>2</v>
      </c>
      <c r="D35" t="s">
        <v>3</v>
      </c>
      <c r="E35" t="s">
        <v>4</v>
      </c>
      <c r="F35" t="s">
        <v>5</v>
      </c>
      <c r="G35" t="s">
        <v>6</v>
      </c>
      <c r="H35" t="s">
        <v>4</v>
      </c>
      <c r="I35" t="s">
        <v>7</v>
      </c>
      <c r="J35" t="s">
        <v>4</v>
      </c>
      <c r="K35" t="s">
        <v>8</v>
      </c>
      <c r="L35" t="s">
        <v>4</v>
      </c>
      <c r="R35" t="s">
        <v>1</v>
      </c>
      <c r="S35" t="s">
        <v>2</v>
      </c>
      <c r="T35" t="s">
        <v>3</v>
      </c>
      <c r="U35" t="s">
        <v>4</v>
      </c>
      <c r="V35" t="s">
        <v>5</v>
      </c>
      <c r="W35" t="s">
        <v>6</v>
      </c>
      <c r="X35" t="s">
        <v>4</v>
      </c>
      <c r="Y35" t="s">
        <v>7</v>
      </c>
      <c r="Z35" t="s">
        <v>4</v>
      </c>
      <c r="AA35" t="s">
        <v>8</v>
      </c>
      <c r="AB35" t="s">
        <v>4</v>
      </c>
    </row>
    <row r="36" spans="2:28" x14ac:dyDescent="0.3">
      <c r="B36" s="1">
        <v>1.7999999999999999E-2</v>
      </c>
      <c r="C36">
        <v>1000</v>
      </c>
      <c r="D36" s="1">
        <v>1.3730980000000001E-13</v>
      </c>
      <c r="E36" s="1">
        <v>3.3634409999999998E-12</v>
      </c>
      <c r="F36">
        <v>10</v>
      </c>
      <c r="G36" s="1">
        <v>0.01</v>
      </c>
      <c r="H36" s="1">
        <v>9.9548529999999996E-2</v>
      </c>
      <c r="I36" s="1">
        <v>1.734492E-3</v>
      </c>
      <c r="J36" s="1">
        <v>1.7109459999999999E-4</v>
      </c>
      <c r="K36" s="1">
        <v>7.6336889999999999E-3</v>
      </c>
      <c r="L36" s="1">
        <v>1.067609E-3</v>
      </c>
      <c r="R36" s="1">
        <v>1.7999999999999999E-2</v>
      </c>
      <c r="S36">
        <v>1000</v>
      </c>
      <c r="T36" s="1">
        <v>3.4880199999999998E-13</v>
      </c>
      <c r="U36" s="1">
        <v>3.67818E-12</v>
      </c>
      <c r="V36">
        <v>13</v>
      </c>
      <c r="W36" s="1">
        <v>1.2999999999999999E-2</v>
      </c>
      <c r="X36" s="1">
        <v>0.11333070000000001</v>
      </c>
      <c r="Y36" s="1">
        <v>1.095371E-2</v>
      </c>
      <c r="Z36" s="1">
        <v>5.5572209999999996E-4</v>
      </c>
      <c r="AA36" s="1">
        <v>7.3496179999999996E-3</v>
      </c>
      <c r="AB36" s="1">
        <v>9.425112E-4</v>
      </c>
    </row>
    <row r="37" spans="2:28" x14ac:dyDescent="0.3">
      <c r="B37" s="1"/>
      <c r="D37" s="1"/>
      <c r="E37" s="1"/>
      <c r="G37" s="1"/>
      <c r="H37" s="1"/>
      <c r="I37" s="1"/>
      <c r="J37" s="1"/>
      <c r="K37" s="1"/>
      <c r="L37" s="1"/>
      <c r="R37" s="1"/>
      <c r="T37" s="1"/>
      <c r="U37" s="1"/>
      <c r="W37" s="1"/>
      <c r="X37" s="1"/>
      <c r="Y37" s="1"/>
      <c r="Z37" s="1"/>
      <c r="AA37" s="1"/>
      <c r="AB37" s="1"/>
    </row>
    <row r="38" spans="2:28" x14ac:dyDescent="0.3">
      <c r="B38" t="s">
        <v>9</v>
      </c>
      <c r="R38" t="s">
        <v>9</v>
      </c>
    </row>
    <row r="39" spans="2:28" x14ac:dyDescent="0.3">
      <c r="R39" s="1"/>
      <c r="T39" s="1"/>
      <c r="U39" s="1"/>
      <c r="W39" s="1"/>
      <c r="X39" s="1"/>
      <c r="Y39" s="1"/>
      <c r="Z39" s="1"/>
      <c r="AA39" s="1"/>
      <c r="AB39" s="1"/>
    </row>
    <row r="41" spans="2:28" x14ac:dyDescent="0.3">
      <c r="B41" s="1"/>
      <c r="C41">
        <v>0</v>
      </c>
      <c r="D41" s="1"/>
      <c r="E41" s="1"/>
      <c r="G41" s="1"/>
      <c r="H41" s="1"/>
      <c r="I41" s="1"/>
      <c r="J41" s="1"/>
      <c r="K41" s="1"/>
      <c r="L41" s="1"/>
      <c r="R41" s="1"/>
      <c r="S41">
        <v>0</v>
      </c>
      <c r="T41" s="1"/>
      <c r="U41" s="1"/>
      <c r="W41" s="1"/>
      <c r="X41" s="1"/>
      <c r="Y41" s="1"/>
      <c r="Z41" s="1"/>
      <c r="AA41" s="1"/>
      <c r="AB41" s="1"/>
    </row>
    <row r="42" spans="2:28" x14ac:dyDescent="0.3">
      <c r="B42" t="s">
        <v>1</v>
      </c>
      <c r="C42" t="s">
        <v>2</v>
      </c>
      <c r="D42" t="s">
        <v>3</v>
      </c>
      <c r="E42" t="s">
        <v>4</v>
      </c>
      <c r="F42" t="s">
        <v>5</v>
      </c>
      <c r="G42" t="s">
        <v>6</v>
      </c>
      <c r="H42" t="s">
        <v>4</v>
      </c>
      <c r="I42" t="s">
        <v>7</v>
      </c>
      <c r="J42" t="s">
        <v>4</v>
      </c>
      <c r="K42" t="s">
        <v>8</v>
      </c>
      <c r="L42" t="s">
        <v>4</v>
      </c>
      <c r="R42" t="s">
        <v>1</v>
      </c>
      <c r="S42" t="s">
        <v>2</v>
      </c>
      <c r="T42" t="s">
        <v>3</v>
      </c>
      <c r="U42" t="s">
        <v>4</v>
      </c>
      <c r="V42" t="s">
        <v>5</v>
      </c>
      <c r="W42" t="s">
        <v>6</v>
      </c>
      <c r="X42" t="s">
        <v>4</v>
      </c>
      <c r="Y42" t="s">
        <v>7</v>
      </c>
      <c r="Z42" t="s">
        <v>4</v>
      </c>
      <c r="AA42" t="s">
        <v>8</v>
      </c>
      <c r="AB42" t="s">
        <v>4</v>
      </c>
    </row>
    <row r="43" spans="2:28" x14ac:dyDescent="0.3">
      <c r="B43" s="1">
        <v>1.7999999999999999E-2</v>
      </c>
      <c r="C43">
        <v>1000</v>
      </c>
      <c r="D43" s="1">
        <v>1.7432779999999999E-13</v>
      </c>
      <c r="E43" s="1">
        <v>2.648363E-12</v>
      </c>
      <c r="F43">
        <v>10</v>
      </c>
      <c r="G43" s="1">
        <v>0.01</v>
      </c>
      <c r="H43" s="1">
        <v>9.9548529999999996E-2</v>
      </c>
      <c r="I43" s="1">
        <v>1.684233E-3</v>
      </c>
      <c r="J43" s="1">
        <v>1.5501649999999999E-4</v>
      </c>
      <c r="K43" s="1">
        <v>7.9161330000000005E-3</v>
      </c>
      <c r="L43" s="1">
        <v>1.0082979999999999E-3</v>
      </c>
      <c r="R43" s="1">
        <v>1.7999999999999999E-2</v>
      </c>
      <c r="S43">
        <v>1000</v>
      </c>
      <c r="T43" s="1">
        <v>5.4125870000000001E-13</v>
      </c>
      <c r="U43" s="1">
        <v>4.2797720000000004E-12</v>
      </c>
      <c r="V43">
        <v>17</v>
      </c>
      <c r="W43" s="1">
        <v>1.7000000000000001E-2</v>
      </c>
      <c r="X43" s="1">
        <v>0.1293357</v>
      </c>
      <c r="Y43" s="1">
        <v>1.096926E-2</v>
      </c>
      <c r="Z43" s="1">
        <v>5.1254920000000002E-4</v>
      </c>
      <c r="AA43" s="1">
        <v>7.7296439999999999E-3</v>
      </c>
      <c r="AB43" s="1">
        <v>9.4276169999999999E-4</v>
      </c>
    </row>
    <row r="44" spans="2:28" x14ac:dyDescent="0.3">
      <c r="B44" s="1"/>
      <c r="D44" s="1"/>
      <c r="E44" s="1"/>
      <c r="G44" s="1"/>
      <c r="H44" s="1"/>
      <c r="I44" s="1"/>
      <c r="J44" s="1"/>
      <c r="K44" s="1"/>
      <c r="L44" s="1"/>
      <c r="R44" s="1"/>
      <c r="T44" s="1"/>
      <c r="U44" s="1"/>
      <c r="W44" s="1"/>
      <c r="X44" s="1"/>
      <c r="Y44" s="1"/>
      <c r="Z44" s="1"/>
      <c r="AA44" s="1"/>
      <c r="AB44" s="1"/>
    </row>
    <row r="45" spans="2:28" x14ac:dyDescent="0.3">
      <c r="B45" t="s">
        <v>9</v>
      </c>
      <c r="R45" t="s">
        <v>9</v>
      </c>
    </row>
    <row r="46" spans="2:28" x14ac:dyDescent="0.3">
      <c r="R46" s="1"/>
      <c r="T46" s="1"/>
      <c r="U46" s="1"/>
      <c r="W46" s="1"/>
      <c r="X46" s="1"/>
      <c r="Y46" s="1"/>
      <c r="Z46" s="1"/>
      <c r="AA46" s="1"/>
      <c r="AB46" s="1"/>
    </row>
    <row r="48" spans="2:28" x14ac:dyDescent="0.3">
      <c r="B48" s="1"/>
      <c r="C48">
        <v>0</v>
      </c>
      <c r="D48" s="1"/>
      <c r="E48" s="1"/>
      <c r="G48" s="1"/>
      <c r="H48" s="1"/>
      <c r="I48" s="1"/>
      <c r="J48" s="1"/>
      <c r="K48" s="1"/>
      <c r="L48" s="1"/>
      <c r="R48" s="1"/>
      <c r="S48">
        <v>0</v>
      </c>
      <c r="T48" s="1"/>
      <c r="U48" s="1"/>
      <c r="W48" s="1"/>
      <c r="X48" s="1"/>
      <c r="Y48" s="1"/>
      <c r="Z48" s="1"/>
      <c r="AA48" s="1"/>
      <c r="AB48" s="1"/>
    </row>
    <row r="49" spans="2:28" x14ac:dyDescent="0.3">
      <c r="B49" t="s">
        <v>1</v>
      </c>
      <c r="C49" t="s">
        <v>2</v>
      </c>
      <c r="D49" t="s">
        <v>3</v>
      </c>
      <c r="E49" t="s">
        <v>4</v>
      </c>
      <c r="F49" t="s">
        <v>5</v>
      </c>
      <c r="G49" t="s">
        <v>6</v>
      </c>
      <c r="H49" t="s">
        <v>4</v>
      </c>
      <c r="I49" t="s">
        <v>7</v>
      </c>
      <c r="J49" t="s">
        <v>4</v>
      </c>
      <c r="K49" t="s">
        <v>8</v>
      </c>
      <c r="L49" t="s">
        <v>4</v>
      </c>
      <c r="R49" t="s">
        <v>1</v>
      </c>
      <c r="S49" t="s">
        <v>2</v>
      </c>
      <c r="T49" t="s">
        <v>3</v>
      </c>
      <c r="U49" t="s">
        <v>4</v>
      </c>
      <c r="V49" t="s">
        <v>5</v>
      </c>
      <c r="W49" t="s">
        <v>6</v>
      </c>
      <c r="X49" t="s">
        <v>4</v>
      </c>
      <c r="Y49" t="s">
        <v>7</v>
      </c>
      <c r="Z49" t="s">
        <v>4</v>
      </c>
      <c r="AA49" t="s">
        <v>8</v>
      </c>
      <c r="AB49" t="s">
        <v>4</v>
      </c>
    </row>
    <row r="50" spans="2:28" x14ac:dyDescent="0.3">
      <c r="B50" s="1">
        <v>1.7999999999999999E-2</v>
      </c>
      <c r="C50">
        <v>1000</v>
      </c>
      <c r="D50" s="1">
        <v>3.0300420000000002E-13</v>
      </c>
      <c r="E50" s="1">
        <v>3.6394170000000001E-12</v>
      </c>
      <c r="F50">
        <v>11</v>
      </c>
      <c r="G50" s="1">
        <v>1.0999999999999999E-2</v>
      </c>
      <c r="H50" s="1">
        <v>0.1135425</v>
      </c>
      <c r="I50" s="1">
        <v>1.70367E-3</v>
      </c>
      <c r="J50" s="1">
        <v>1.5874549999999999E-4</v>
      </c>
      <c r="K50" s="1">
        <v>8.0641319999999999E-3</v>
      </c>
      <c r="L50" s="1">
        <v>1.0479910000000001E-3</v>
      </c>
      <c r="R50" s="1">
        <v>1.7999999999999999E-2</v>
      </c>
      <c r="S50">
        <v>1000</v>
      </c>
      <c r="T50" s="1">
        <v>3.6403630000000002E-13</v>
      </c>
      <c r="U50" s="1">
        <v>3.518325E-12</v>
      </c>
      <c r="V50">
        <v>14</v>
      </c>
      <c r="W50" s="1">
        <v>1.4E-2</v>
      </c>
      <c r="X50" s="1">
        <v>0.1257769</v>
      </c>
      <c r="Y50" s="1">
        <v>1.094205E-2</v>
      </c>
      <c r="Z50" s="1">
        <v>5.4757769999999996E-4</v>
      </c>
      <c r="AA50" s="1">
        <v>7.8738479999999993E-3</v>
      </c>
      <c r="AB50" s="1">
        <v>1.0042880000000001E-3</v>
      </c>
    </row>
    <row r="51" spans="2:28" x14ac:dyDescent="0.3">
      <c r="B51" s="1"/>
      <c r="D51" s="1"/>
      <c r="E51" s="1"/>
      <c r="G51" s="1"/>
      <c r="H51" s="1"/>
      <c r="I51" s="1"/>
      <c r="J51" s="1"/>
      <c r="K51" s="1"/>
      <c r="L51" s="1"/>
      <c r="R51" s="1"/>
      <c r="T51" s="1"/>
      <c r="U51" s="1"/>
      <c r="W51" s="1"/>
      <c r="X51" s="1"/>
      <c r="Y51" s="1"/>
      <c r="Z51" s="1"/>
      <c r="AA51" s="1"/>
      <c r="AB51" s="1"/>
    </row>
    <row r="52" spans="2:28" x14ac:dyDescent="0.3">
      <c r="B52" t="s">
        <v>9</v>
      </c>
      <c r="R52" t="s">
        <v>9</v>
      </c>
    </row>
    <row r="55" spans="2:28" x14ac:dyDescent="0.3">
      <c r="B55" s="1"/>
      <c r="C55">
        <v>0</v>
      </c>
      <c r="D55" s="1"/>
      <c r="E55" s="1"/>
      <c r="G55" s="1"/>
      <c r="H55" s="1"/>
      <c r="I55" s="1"/>
      <c r="J55" s="1"/>
      <c r="K55" s="1"/>
      <c r="L55" s="1"/>
      <c r="R55" s="1"/>
      <c r="S55">
        <v>0</v>
      </c>
      <c r="T55" s="1"/>
      <c r="U55" s="1"/>
      <c r="W55" s="1"/>
      <c r="X55" s="1"/>
      <c r="Y55" s="1"/>
      <c r="Z55" s="1"/>
      <c r="AA55" s="1"/>
      <c r="AB55" s="1"/>
    </row>
    <row r="56" spans="2:28" x14ac:dyDescent="0.3">
      <c r="B56" t="s">
        <v>1</v>
      </c>
      <c r="C56" t="s">
        <v>2</v>
      </c>
      <c r="D56" t="s">
        <v>3</v>
      </c>
      <c r="E56" t="s">
        <v>4</v>
      </c>
      <c r="F56" t="s">
        <v>5</v>
      </c>
      <c r="G56" t="s">
        <v>6</v>
      </c>
      <c r="H56" t="s">
        <v>4</v>
      </c>
      <c r="I56" t="s">
        <v>7</v>
      </c>
      <c r="J56" t="s">
        <v>4</v>
      </c>
      <c r="K56" t="s">
        <v>8</v>
      </c>
      <c r="L56" t="s">
        <v>4</v>
      </c>
      <c r="R56" t="s">
        <v>1</v>
      </c>
      <c r="S56" t="s">
        <v>2</v>
      </c>
      <c r="T56" t="s">
        <v>3</v>
      </c>
      <c r="U56" t="s">
        <v>4</v>
      </c>
      <c r="V56" t="s">
        <v>5</v>
      </c>
      <c r="W56" t="s">
        <v>6</v>
      </c>
      <c r="X56" t="s">
        <v>4</v>
      </c>
      <c r="Y56" t="s">
        <v>7</v>
      </c>
      <c r="Z56" t="s">
        <v>4</v>
      </c>
      <c r="AA56" t="s">
        <v>8</v>
      </c>
      <c r="AB56" t="s">
        <v>4</v>
      </c>
    </row>
    <row r="57" spans="2:28" x14ac:dyDescent="0.3">
      <c r="B57" s="1">
        <v>1.7999999999999999E-2</v>
      </c>
      <c r="C57">
        <v>1000</v>
      </c>
      <c r="D57" s="1">
        <v>3.4276240000000002E-13</v>
      </c>
      <c r="E57" s="1">
        <v>3.5565599999999999E-12</v>
      </c>
      <c r="F57">
        <v>13</v>
      </c>
      <c r="G57" s="1">
        <v>1.2999999999999999E-2</v>
      </c>
      <c r="H57" s="1">
        <v>0.11333070000000001</v>
      </c>
      <c r="I57" s="1">
        <v>1.731993E-3</v>
      </c>
      <c r="J57" s="1">
        <v>1.6947539999999999E-4</v>
      </c>
      <c r="K57" s="1">
        <v>7.8036440000000002E-3</v>
      </c>
      <c r="L57" s="1">
        <v>1.0196680000000001E-3</v>
      </c>
      <c r="R57" s="1">
        <v>1.7999999999999999E-2</v>
      </c>
      <c r="S57">
        <v>1000</v>
      </c>
      <c r="T57" s="1">
        <v>2.9999939999999999E-13</v>
      </c>
      <c r="U57" s="1">
        <v>3.9222979999999996E-12</v>
      </c>
      <c r="V57">
        <v>14</v>
      </c>
      <c r="W57" s="1">
        <v>1.4E-2</v>
      </c>
      <c r="X57" s="1">
        <v>0.1257769</v>
      </c>
      <c r="Y57" s="1">
        <v>1.1012020000000001E-2</v>
      </c>
      <c r="Z57" s="1">
        <v>5.404594E-4</v>
      </c>
      <c r="AA57" s="1">
        <v>7.6185100000000002E-3</v>
      </c>
      <c r="AB57" s="1">
        <v>1.0429359999999999E-3</v>
      </c>
    </row>
    <row r="58" spans="2:28" x14ac:dyDescent="0.3">
      <c r="B58" s="1"/>
      <c r="D58" s="1"/>
      <c r="E58" s="1"/>
      <c r="G58" s="1"/>
      <c r="H58" s="1"/>
      <c r="I58" s="1"/>
      <c r="J58" s="1"/>
      <c r="K58" s="1"/>
      <c r="L58" s="1"/>
      <c r="R58" s="1"/>
      <c r="T58" s="1"/>
      <c r="U58" s="1"/>
      <c r="W58" s="1"/>
      <c r="X58" s="1"/>
      <c r="Y58" s="1"/>
      <c r="Z58" s="1"/>
      <c r="AA58" s="1"/>
      <c r="AB58" s="1"/>
    </row>
    <row r="59" spans="2:28" x14ac:dyDescent="0.3">
      <c r="B59" t="s">
        <v>9</v>
      </c>
      <c r="R59" t="s">
        <v>9</v>
      </c>
    </row>
    <row r="62" spans="2:28" x14ac:dyDescent="0.3">
      <c r="B62" s="1"/>
      <c r="C62">
        <v>0</v>
      </c>
      <c r="D62" s="1"/>
      <c r="E62" s="1"/>
      <c r="G62" s="1"/>
      <c r="H62" s="1"/>
      <c r="I62" s="1"/>
      <c r="J62" s="1"/>
      <c r="K62" s="1"/>
      <c r="L62" s="1"/>
      <c r="R62" s="1"/>
      <c r="S62">
        <v>0</v>
      </c>
      <c r="T62" s="1"/>
      <c r="U62" s="1"/>
      <c r="W62" s="1"/>
      <c r="X62" s="1"/>
      <c r="Y62" s="1"/>
      <c r="Z62" s="1"/>
      <c r="AA62" s="1"/>
      <c r="AB62" s="1"/>
    </row>
    <row r="63" spans="2:28" x14ac:dyDescent="0.3">
      <c r="B63" t="s">
        <v>1</v>
      </c>
      <c r="C63" t="s">
        <v>2</v>
      </c>
      <c r="D63" t="s">
        <v>3</v>
      </c>
      <c r="E63" t="s">
        <v>4</v>
      </c>
      <c r="F63" t="s">
        <v>5</v>
      </c>
      <c r="G63" t="s">
        <v>6</v>
      </c>
      <c r="H63" t="s">
        <v>4</v>
      </c>
      <c r="I63" t="s">
        <v>7</v>
      </c>
      <c r="J63" t="s">
        <v>4</v>
      </c>
      <c r="K63" t="s">
        <v>8</v>
      </c>
      <c r="L63" t="s">
        <v>4</v>
      </c>
      <c r="R63" t="s">
        <v>1</v>
      </c>
      <c r="S63" t="s">
        <v>2</v>
      </c>
      <c r="T63" t="s">
        <v>3</v>
      </c>
      <c r="U63" t="s">
        <v>4</v>
      </c>
      <c r="V63" t="s">
        <v>5</v>
      </c>
      <c r="W63" t="s">
        <v>6</v>
      </c>
      <c r="X63" t="s">
        <v>4</v>
      </c>
      <c r="Y63" t="s">
        <v>7</v>
      </c>
      <c r="Z63" t="s">
        <v>4</v>
      </c>
      <c r="AA63" t="s">
        <v>8</v>
      </c>
      <c r="AB63" t="s">
        <v>4</v>
      </c>
    </row>
    <row r="64" spans="2:28" x14ac:dyDescent="0.3">
      <c r="B64" s="1">
        <v>1.7999999999999999E-2</v>
      </c>
      <c r="C64">
        <v>1000</v>
      </c>
      <c r="D64" s="1">
        <v>2.7561559999999998E-13</v>
      </c>
      <c r="E64" s="1">
        <v>2.86059E-12</v>
      </c>
      <c r="F64">
        <v>6</v>
      </c>
      <c r="G64" s="1">
        <v>6.0000000000000001E-3</v>
      </c>
      <c r="H64" s="1">
        <v>7.726558E-2</v>
      </c>
      <c r="I64" s="1">
        <v>1.7006160000000001E-3</v>
      </c>
      <c r="J64" s="1">
        <v>1.5742269999999999E-4</v>
      </c>
      <c r="K64" s="1">
        <v>7.7651530000000003E-3</v>
      </c>
      <c r="L64" s="1">
        <v>1.1007149999999999E-3</v>
      </c>
      <c r="R64" s="1">
        <v>1.7999999999999999E-2</v>
      </c>
      <c r="S64">
        <v>1000</v>
      </c>
      <c r="T64" s="1">
        <v>2.7294609999999998E-13</v>
      </c>
      <c r="U64" s="1">
        <v>3.097388E-12</v>
      </c>
      <c r="V64">
        <v>14</v>
      </c>
      <c r="W64" s="1">
        <v>1.4E-2</v>
      </c>
      <c r="X64" s="1">
        <v>0.13349839999999999</v>
      </c>
      <c r="Y64" s="1">
        <v>1.1034789999999999E-2</v>
      </c>
      <c r="Z64" s="1">
        <v>5.35379E-4</v>
      </c>
      <c r="AA64" s="1">
        <v>7.5252649999999997E-3</v>
      </c>
      <c r="AB64" s="1">
        <v>1.0207560000000001E-3</v>
      </c>
    </row>
    <row r="65" spans="2:28" x14ac:dyDescent="0.3">
      <c r="B65" s="1"/>
      <c r="D65" s="1"/>
      <c r="E65" s="1"/>
      <c r="G65" s="1"/>
      <c r="H65" s="1"/>
      <c r="I65" s="1"/>
      <c r="J65" s="1"/>
      <c r="K65" s="1"/>
      <c r="L65" s="1"/>
      <c r="R65" s="1"/>
      <c r="T65" s="1"/>
      <c r="U65" s="1"/>
      <c r="W65" s="1"/>
      <c r="X65" s="1"/>
      <c r="Y65" s="1"/>
      <c r="Z65" s="1"/>
      <c r="AA65" s="1"/>
      <c r="AB65" s="1"/>
    </row>
    <row r="66" spans="2:28" x14ac:dyDescent="0.3">
      <c r="B66" t="s">
        <v>9</v>
      </c>
      <c r="R66" t="s">
        <v>9</v>
      </c>
    </row>
    <row r="69" spans="2:28" x14ac:dyDescent="0.3">
      <c r="B69" s="1"/>
      <c r="C69">
        <v>0</v>
      </c>
      <c r="D69" s="1"/>
      <c r="E69" s="1"/>
      <c r="G69" s="1"/>
      <c r="H69" s="1"/>
      <c r="I69" s="1"/>
      <c r="J69" s="1"/>
      <c r="K69" s="1"/>
      <c r="L69" s="1"/>
      <c r="R69" s="1"/>
      <c r="S69">
        <v>0</v>
      </c>
      <c r="T69" s="1"/>
      <c r="U69" s="1"/>
      <c r="W69" s="1"/>
      <c r="X69" s="1"/>
      <c r="Y69" s="1"/>
      <c r="Z69" s="1"/>
      <c r="AA69" s="1"/>
      <c r="AB69" s="1"/>
    </row>
    <row r="70" spans="2:28" x14ac:dyDescent="0.3">
      <c r="B70" t="s">
        <v>1</v>
      </c>
      <c r="C70" t="s">
        <v>2</v>
      </c>
      <c r="D70" t="s">
        <v>3</v>
      </c>
      <c r="E70" t="s">
        <v>4</v>
      </c>
      <c r="F70" t="s">
        <v>5</v>
      </c>
      <c r="G70" t="s">
        <v>6</v>
      </c>
      <c r="H70" t="s">
        <v>4</v>
      </c>
      <c r="I70" t="s">
        <v>7</v>
      </c>
      <c r="J70" t="s">
        <v>4</v>
      </c>
      <c r="K70" t="s">
        <v>8</v>
      </c>
      <c r="L70" t="s">
        <v>4</v>
      </c>
      <c r="R70" t="s">
        <v>1</v>
      </c>
      <c r="S70" t="s">
        <v>2</v>
      </c>
      <c r="T70" t="s">
        <v>3</v>
      </c>
      <c r="U70" t="s">
        <v>4</v>
      </c>
      <c r="V70" t="s">
        <v>5</v>
      </c>
      <c r="W70" t="s">
        <v>6</v>
      </c>
      <c r="X70" t="s">
        <v>4</v>
      </c>
      <c r="Y70" t="s">
        <v>7</v>
      </c>
      <c r="Z70" t="s">
        <v>4</v>
      </c>
      <c r="AA70" t="s">
        <v>8</v>
      </c>
      <c r="AB70" t="s">
        <v>4</v>
      </c>
    </row>
    <row r="71" spans="2:28" x14ac:dyDescent="0.3">
      <c r="B71" s="1">
        <v>1.7999999999999999E-2</v>
      </c>
      <c r="C71">
        <v>1000</v>
      </c>
      <c r="D71" s="1">
        <v>4.6528110000000004E-13</v>
      </c>
      <c r="E71" s="1">
        <v>3.8403579999999997E-12</v>
      </c>
      <c r="F71">
        <v>12</v>
      </c>
      <c r="G71" s="1">
        <v>1.2E-2</v>
      </c>
      <c r="H71" s="1">
        <v>0.49041970000000001</v>
      </c>
      <c r="I71" s="1">
        <v>1.728938E-3</v>
      </c>
      <c r="J71" s="1">
        <v>1.6737330000000001E-4</v>
      </c>
      <c r="K71" s="1">
        <v>7.4146730000000001E-3</v>
      </c>
      <c r="L71" s="1">
        <v>1.067548E-3</v>
      </c>
      <c r="R71" s="1">
        <v>1.7999999999999999E-2</v>
      </c>
      <c r="S71">
        <v>1000</v>
      </c>
      <c r="T71" s="1">
        <v>3.7145259999999998E-13</v>
      </c>
      <c r="U71" s="1">
        <v>3.9065849999999998E-12</v>
      </c>
      <c r="V71">
        <v>15</v>
      </c>
      <c r="W71" s="1">
        <v>1.4999999999999999E-2</v>
      </c>
      <c r="X71" s="1">
        <v>0.14420749999999999</v>
      </c>
      <c r="Y71" s="1">
        <v>1.1040899999999999E-2</v>
      </c>
      <c r="Z71" s="1">
        <v>5.1775349999999998E-4</v>
      </c>
      <c r="AA71" s="1">
        <v>7.2796850000000001E-3</v>
      </c>
      <c r="AB71" s="1">
        <v>1.0200669999999999E-3</v>
      </c>
    </row>
    <row r="72" spans="2:28" x14ac:dyDescent="0.3">
      <c r="B72" s="1"/>
      <c r="D72" s="1"/>
      <c r="E72" s="1"/>
      <c r="G72" s="1"/>
      <c r="H72" s="1"/>
      <c r="I72" s="1"/>
      <c r="J72" s="1"/>
      <c r="K72" s="1"/>
      <c r="L72" s="1"/>
      <c r="R72" s="1"/>
      <c r="T72" s="1"/>
      <c r="U72" s="1"/>
      <c r="W72" s="1"/>
      <c r="X72" s="1"/>
      <c r="Y72" s="1"/>
      <c r="Z72" s="1"/>
      <c r="AA72" s="1"/>
      <c r="AB72" s="1"/>
    </row>
    <row r="73" spans="2:28" x14ac:dyDescent="0.3">
      <c r="R73" t="s">
        <v>9</v>
      </c>
    </row>
    <row r="76" spans="2:28" x14ac:dyDescent="0.3">
      <c r="B76" s="1"/>
      <c r="D76" s="1"/>
      <c r="E76" s="1"/>
      <c r="G76" s="1"/>
      <c r="H76" s="1"/>
      <c r="I76" s="1"/>
      <c r="J76" s="1"/>
      <c r="K76" s="1"/>
      <c r="L76" s="1"/>
      <c r="R76" s="1"/>
      <c r="T76" s="1"/>
      <c r="U76" s="1"/>
      <c r="W76" s="1"/>
      <c r="X76" s="1"/>
      <c r="Y76" s="1"/>
      <c r="Z76" s="1"/>
      <c r="AA76" s="1"/>
      <c r="AB76" s="1"/>
    </row>
    <row r="78" spans="2:28" x14ac:dyDescent="0.3">
      <c r="B78" s="1"/>
      <c r="D78" s="1"/>
      <c r="E78" s="1"/>
      <c r="G78" s="1"/>
      <c r="H78" s="1"/>
      <c r="I78" s="1"/>
      <c r="J78" s="1"/>
      <c r="K78" s="1"/>
      <c r="L78" s="1"/>
      <c r="R78" s="1"/>
      <c r="T78" s="1"/>
      <c r="U78" s="1"/>
      <c r="W78" s="1"/>
      <c r="X78" s="1"/>
      <c r="Y78" s="1"/>
      <c r="Z78" s="1"/>
      <c r="AA78" s="1"/>
      <c r="AB78" s="1"/>
    </row>
    <row r="79" spans="2:28" x14ac:dyDescent="0.3">
      <c r="B79" s="1"/>
      <c r="D79" s="1"/>
      <c r="E79" s="1"/>
      <c r="G79" s="1"/>
      <c r="H79" s="1"/>
      <c r="I79" s="1"/>
      <c r="J79" s="1"/>
      <c r="K79" s="1"/>
      <c r="L79" s="1"/>
      <c r="R79" s="1"/>
      <c r="T79" s="1"/>
      <c r="U79" s="1"/>
      <c r="W79" s="1"/>
      <c r="X79" s="1"/>
      <c r="Y79" s="1"/>
      <c r="Z79" s="1"/>
      <c r="AA79" s="1"/>
      <c r="AB79" s="1"/>
    </row>
    <row r="83" spans="2:28" x14ac:dyDescent="0.3">
      <c r="R83" s="1"/>
      <c r="T83" s="1"/>
      <c r="U83" s="1"/>
      <c r="W83" s="1"/>
      <c r="X83" s="1"/>
      <c r="Y83" s="1"/>
      <c r="Z83" s="1"/>
      <c r="AA83" s="1"/>
      <c r="AB83" s="1"/>
    </row>
    <row r="85" spans="2:28" x14ac:dyDescent="0.3">
      <c r="B85" s="1"/>
      <c r="D85" s="1"/>
      <c r="E85" s="1"/>
      <c r="G85" s="1"/>
      <c r="H85" s="1"/>
      <c r="I85" s="1"/>
      <c r="J85" s="1"/>
      <c r="K85" s="1"/>
      <c r="L85" s="1"/>
      <c r="R85" s="1"/>
      <c r="T85" s="1"/>
      <c r="U85" s="1"/>
      <c r="W85" s="1"/>
      <c r="X85" s="1"/>
      <c r="Y85" s="1"/>
      <c r="Z85" s="1"/>
      <c r="AA85" s="1"/>
      <c r="AB85" s="1"/>
    </row>
    <row r="86" spans="2:28" x14ac:dyDescent="0.3">
      <c r="R86" s="1"/>
      <c r="T86" s="1"/>
      <c r="U86" s="1"/>
      <c r="W86" s="1"/>
      <c r="X86" s="1"/>
      <c r="Y86" s="1"/>
      <c r="Z86" s="1"/>
      <c r="AA86" s="1"/>
      <c r="AB86" s="1"/>
    </row>
    <row r="88" spans="2:28" x14ac:dyDescent="0.3">
      <c r="B88" s="1"/>
      <c r="D88" s="1"/>
      <c r="E88" s="1"/>
      <c r="G88" s="1"/>
      <c r="H88" s="1"/>
      <c r="I88" s="1"/>
      <c r="J88" s="1"/>
      <c r="K88" s="1"/>
      <c r="L88" s="1"/>
    </row>
    <row r="89" spans="2:28" x14ac:dyDescent="0.3">
      <c r="B89" s="1"/>
      <c r="D89" s="1"/>
      <c r="E89" s="1"/>
      <c r="G89" s="1"/>
      <c r="H89" s="1"/>
      <c r="I89" s="1"/>
      <c r="J89" s="1"/>
      <c r="K89" s="1"/>
      <c r="L89" s="1"/>
    </row>
    <row r="92" spans="2:28" x14ac:dyDescent="0.3">
      <c r="B92" s="1"/>
      <c r="D92" s="1"/>
      <c r="E92" s="1"/>
      <c r="G92" s="1"/>
      <c r="H92" s="1"/>
      <c r="I92" s="1"/>
      <c r="J92" s="1"/>
      <c r="K92" s="1"/>
      <c r="L92" s="1"/>
    </row>
    <row r="93" spans="2:28" x14ac:dyDescent="0.3">
      <c r="R93" s="1"/>
      <c r="T93" s="1"/>
      <c r="U93" s="1"/>
      <c r="W93" s="1"/>
      <c r="X93" s="1"/>
      <c r="Y93" s="1"/>
      <c r="Z93" s="1"/>
      <c r="AA93" s="1"/>
      <c r="AB93" s="1"/>
    </row>
    <row r="95" spans="2:28" x14ac:dyDescent="0.3">
      <c r="B95" s="1"/>
      <c r="D95" s="1"/>
      <c r="E95" s="1"/>
      <c r="G95" s="1"/>
      <c r="H95" s="1"/>
      <c r="I95" s="1"/>
      <c r="J95" s="1"/>
      <c r="K95" s="1"/>
      <c r="L95" s="1"/>
      <c r="R95" s="1"/>
      <c r="T95" s="1"/>
      <c r="U95" s="1"/>
      <c r="W95" s="1"/>
      <c r="X95" s="1"/>
      <c r="Y95" s="1"/>
      <c r="Z95" s="1"/>
      <c r="AA95" s="1"/>
      <c r="AB95" s="1"/>
    </row>
    <row r="96" spans="2:28" x14ac:dyDescent="0.3">
      <c r="B96" s="1"/>
      <c r="D96" s="1"/>
      <c r="E96" s="1"/>
      <c r="G96" s="1"/>
      <c r="H96" s="1"/>
      <c r="I96" s="1"/>
      <c r="J96" s="1"/>
      <c r="K96" s="1"/>
      <c r="L96" s="1"/>
    </row>
    <row r="99" spans="2:28" x14ac:dyDescent="0.3">
      <c r="B99" s="1"/>
      <c r="D99" s="1"/>
      <c r="E99" s="1"/>
      <c r="G99" s="1"/>
      <c r="H99" s="1"/>
      <c r="I99" s="1"/>
      <c r="J99" s="1"/>
      <c r="K99" s="1"/>
      <c r="L99" s="1"/>
    </row>
    <row r="100" spans="2:28" x14ac:dyDescent="0.3">
      <c r="R100" s="1"/>
      <c r="T100" s="1"/>
      <c r="U100" s="1"/>
      <c r="W100" s="1"/>
      <c r="X100" s="1"/>
      <c r="Y100" s="1"/>
      <c r="Z100" s="1"/>
      <c r="AA100" s="1"/>
      <c r="AB100" s="1"/>
    </row>
    <row r="102" spans="2:28" x14ac:dyDescent="0.3">
      <c r="B102" s="1"/>
      <c r="D102" s="1"/>
      <c r="E102" s="1"/>
      <c r="G102" s="1"/>
      <c r="H102" s="1"/>
      <c r="I102" s="1"/>
      <c r="J102" s="1"/>
      <c r="K102" s="1"/>
      <c r="L102" s="1"/>
      <c r="R102" s="1"/>
      <c r="T102" s="1"/>
      <c r="U102" s="1"/>
      <c r="W102" s="1"/>
      <c r="X102" s="1"/>
      <c r="Y102" s="1"/>
      <c r="Z102" s="1"/>
      <c r="AA102" s="1"/>
      <c r="AB102" s="1"/>
    </row>
    <row r="103" spans="2:28" x14ac:dyDescent="0.3">
      <c r="B103" s="1"/>
      <c r="D103" s="1"/>
      <c r="E103" s="1"/>
      <c r="G103" s="1"/>
      <c r="H103" s="1"/>
      <c r="I103" s="1"/>
      <c r="J103" s="1"/>
      <c r="K103" s="1"/>
      <c r="L103" s="1"/>
    </row>
    <row r="106" spans="2:28" x14ac:dyDescent="0.3">
      <c r="B106" s="1"/>
      <c r="D106" s="1"/>
      <c r="E106" s="1"/>
      <c r="G106" s="1"/>
      <c r="H106" s="1"/>
      <c r="I106" s="1"/>
      <c r="J106" s="1"/>
      <c r="K106" s="1"/>
      <c r="L106" s="1"/>
    </row>
    <row r="107" spans="2:28" x14ac:dyDescent="0.3">
      <c r="R107" s="1"/>
      <c r="T107" s="1"/>
      <c r="U107" s="1"/>
      <c r="W107" s="1"/>
      <c r="X107" s="1"/>
      <c r="Y107" s="1"/>
      <c r="Z107" s="1"/>
      <c r="AA107" s="1"/>
      <c r="AB107" s="1"/>
    </row>
    <row r="109" spans="2:28" x14ac:dyDescent="0.3">
      <c r="B109" s="1"/>
      <c r="D109" s="1"/>
      <c r="E109" s="1"/>
      <c r="G109" s="1"/>
      <c r="H109" s="1"/>
      <c r="I109" s="1"/>
      <c r="J109" s="1"/>
      <c r="K109" s="1"/>
      <c r="L109" s="1"/>
    </row>
    <row r="113" spans="2:28" x14ac:dyDescent="0.3">
      <c r="B113" s="1"/>
      <c r="D113" s="1"/>
      <c r="E113" s="1"/>
      <c r="G113" s="1"/>
      <c r="H113" s="1"/>
      <c r="I113" s="1"/>
      <c r="J113" s="1"/>
      <c r="K113" s="1"/>
      <c r="L113" s="1"/>
    </row>
    <row r="114" spans="2:28" x14ac:dyDescent="0.3">
      <c r="R114" s="1"/>
      <c r="T114" s="1"/>
      <c r="U114" s="1"/>
      <c r="W114" s="1"/>
      <c r="X114" s="1"/>
      <c r="Y114" s="1"/>
      <c r="Z114" s="1"/>
      <c r="AA114" s="1"/>
      <c r="AB114" s="1"/>
    </row>
    <row r="115" spans="2:28" x14ac:dyDescent="0.3">
      <c r="R115" s="1"/>
      <c r="T115" s="1"/>
      <c r="U115" s="1"/>
      <c r="W115" s="1"/>
      <c r="X115" s="1"/>
      <c r="Y115" s="1"/>
      <c r="Z115" s="1"/>
      <c r="AA115" s="1"/>
      <c r="AB115" s="1"/>
    </row>
    <row r="116" spans="2:28" x14ac:dyDescent="0.3">
      <c r="B116" s="1"/>
      <c r="D116" s="1"/>
      <c r="E116" s="1"/>
      <c r="G116" s="1"/>
      <c r="H116" s="1"/>
      <c r="I116" s="1"/>
      <c r="J116" s="1"/>
      <c r="K116" s="1"/>
      <c r="L116" s="1"/>
    </row>
    <row r="120" spans="2:28" x14ac:dyDescent="0.3">
      <c r="B120" s="1"/>
      <c r="D120" s="1"/>
      <c r="E120" s="1"/>
      <c r="G120" s="1"/>
      <c r="H120" s="1"/>
      <c r="I120" s="1"/>
      <c r="J120" s="1"/>
      <c r="K120" s="1"/>
      <c r="L120" s="1"/>
    </row>
    <row r="121" spans="2:28" x14ac:dyDescent="0.3">
      <c r="R121" s="1"/>
      <c r="T121" s="1"/>
      <c r="U121" s="1"/>
      <c r="W121" s="1"/>
      <c r="X121" s="1"/>
      <c r="Y121" s="1"/>
      <c r="Z121" s="1"/>
      <c r="AA121" s="1"/>
      <c r="AB121" s="1"/>
    </row>
    <row r="122" spans="2:28" x14ac:dyDescent="0.3">
      <c r="R122" s="1"/>
      <c r="T122" s="1"/>
      <c r="U122" s="1"/>
      <c r="W122" s="1"/>
      <c r="X122" s="1"/>
      <c r="Y122" s="1"/>
      <c r="Z122" s="1"/>
      <c r="AA122" s="1"/>
      <c r="AB122" s="1"/>
    </row>
    <row r="123" spans="2:28" x14ac:dyDescent="0.3">
      <c r="B123" s="1"/>
      <c r="D123" s="1"/>
      <c r="E123" s="1"/>
      <c r="G123" s="1"/>
      <c r="H123" s="1"/>
      <c r="I123" s="1"/>
      <c r="J123" s="1"/>
      <c r="K123" s="1"/>
      <c r="L123" s="1"/>
    </row>
    <row r="127" spans="2:28" x14ac:dyDescent="0.3">
      <c r="B127" s="1"/>
      <c r="D127" s="1"/>
      <c r="E127" s="1"/>
      <c r="G127" s="1"/>
      <c r="H127" s="1"/>
      <c r="I127" s="1"/>
      <c r="J127" s="1"/>
      <c r="K127" s="1"/>
      <c r="L127" s="1"/>
    </row>
    <row r="128" spans="2:28" x14ac:dyDescent="0.3">
      <c r="R128" s="1"/>
      <c r="T128" s="1"/>
      <c r="U128" s="1"/>
      <c r="W128" s="1"/>
      <c r="X128" s="1"/>
      <c r="Y128" s="1"/>
      <c r="Z128" s="1"/>
      <c r="AA128" s="1"/>
      <c r="AB128" s="1"/>
    </row>
    <row r="129" spans="2:28" x14ac:dyDescent="0.3">
      <c r="R129" s="1"/>
      <c r="T129" s="1"/>
      <c r="U129" s="1"/>
      <c r="W129" s="1"/>
      <c r="X129" s="1"/>
      <c r="Y129" s="1"/>
      <c r="Z129" s="1"/>
      <c r="AA129" s="1"/>
      <c r="AB129" s="1"/>
    </row>
    <row r="130" spans="2:28" x14ac:dyDescent="0.3">
      <c r="B130" s="1"/>
      <c r="D130" s="1"/>
      <c r="E130" s="1"/>
      <c r="G130" s="1"/>
      <c r="H130" s="1"/>
      <c r="I130" s="1"/>
      <c r="J130" s="1"/>
      <c r="K130" s="1"/>
      <c r="L130" s="1"/>
    </row>
    <row r="135" spans="2:28" x14ac:dyDescent="0.3">
      <c r="R135" s="1"/>
      <c r="T135" s="1"/>
      <c r="U135" s="1"/>
      <c r="W135" s="1"/>
      <c r="X135" s="1"/>
      <c r="Y135" s="1"/>
      <c r="Z135" s="1"/>
      <c r="AA135" s="1"/>
      <c r="AB135" s="1"/>
    </row>
    <row r="136" spans="2:28" x14ac:dyDescent="0.3">
      <c r="R136" s="1"/>
      <c r="T136" s="1"/>
      <c r="U136" s="1"/>
      <c r="W136" s="1"/>
      <c r="X136" s="1"/>
      <c r="Y136" s="1"/>
      <c r="Z136" s="1"/>
      <c r="AA136" s="1"/>
      <c r="AB136" s="1"/>
    </row>
    <row r="137" spans="2:28" x14ac:dyDescent="0.3">
      <c r="B137" s="1"/>
      <c r="D137" s="1"/>
      <c r="E137" s="1"/>
      <c r="G137" s="1"/>
      <c r="H137" s="1"/>
      <c r="I137" s="1"/>
      <c r="J137" s="1"/>
      <c r="K137" s="1"/>
      <c r="L137" s="1"/>
    </row>
    <row r="142" spans="2:28" x14ac:dyDescent="0.3">
      <c r="R142" s="1"/>
      <c r="T142" s="1"/>
      <c r="U142" s="1"/>
      <c r="W142" s="1"/>
      <c r="X142" s="1"/>
      <c r="Y142" s="1"/>
      <c r="Z142" s="1"/>
      <c r="AA142" s="1"/>
      <c r="AB142" s="1"/>
    </row>
    <row r="143" spans="2:28" x14ac:dyDescent="0.3">
      <c r="R143" s="1"/>
      <c r="T143" s="1"/>
      <c r="U143" s="1"/>
      <c r="W143" s="1"/>
      <c r="X143" s="1"/>
      <c r="Y143" s="1"/>
      <c r="Z143" s="1"/>
      <c r="AA143" s="1"/>
      <c r="AB143" s="1"/>
    </row>
    <row r="144" spans="2:28" x14ac:dyDescent="0.3">
      <c r="B144" s="1"/>
      <c r="D144" s="1"/>
      <c r="E144" s="1"/>
      <c r="G144" s="1"/>
      <c r="H144" s="1"/>
      <c r="I144" s="1"/>
      <c r="J144" s="1"/>
      <c r="K144" s="1"/>
      <c r="L144" s="1"/>
    </row>
    <row r="150" spans="2:28" x14ac:dyDescent="0.3">
      <c r="R150" s="1"/>
      <c r="T150" s="1"/>
      <c r="U150" s="1"/>
      <c r="W150" s="1"/>
      <c r="X150" s="1"/>
      <c r="Y150" s="1"/>
      <c r="Z150" s="1"/>
      <c r="AA150" s="1"/>
      <c r="AB150" s="1"/>
    </row>
    <row r="151" spans="2:28" x14ac:dyDescent="0.3">
      <c r="B151" s="1"/>
      <c r="D151" s="1"/>
      <c r="E151" s="1"/>
      <c r="G151" s="1"/>
      <c r="H151" s="1"/>
      <c r="I151" s="1"/>
      <c r="J151" s="1"/>
      <c r="K151" s="1"/>
      <c r="L151" s="1"/>
    </row>
    <row r="152" spans="2:28" x14ac:dyDescent="0.3">
      <c r="R152" s="1"/>
      <c r="T152" s="1"/>
      <c r="U152" s="1"/>
      <c r="W152" s="1"/>
      <c r="X152" s="1"/>
      <c r="Y152" s="1"/>
      <c r="Z152" s="1"/>
      <c r="AA152" s="1"/>
      <c r="AB152" s="1"/>
    </row>
    <row r="154" spans="2:28" x14ac:dyDescent="0.3">
      <c r="B154" s="1"/>
      <c r="D154" s="1"/>
      <c r="E154" s="1"/>
      <c r="G154" s="1"/>
      <c r="H154" s="1"/>
      <c r="I154" s="1"/>
      <c r="J154" s="1"/>
      <c r="K154" s="1"/>
      <c r="L154" s="1"/>
    </row>
    <row r="157" spans="2:28" x14ac:dyDescent="0.3">
      <c r="R157" s="1"/>
      <c r="T157" s="1"/>
      <c r="U157" s="1"/>
      <c r="W157" s="1"/>
      <c r="X157" s="1"/>
      <c r="Y157" s="1"/>
      <c r="Z157" s="1"/>
      <c r="AA157" s="1"/>
      <c r="AB157" s="1"/>
    </row>
    <row r="158" spans="2:28" x14ac:dyDescent="0.3">
      <c r="B158" s="1"/>
      <c r="D158" s="1"/>
      <c r="E158" s="1"/>
      <c r="G158" s="1"/>
      <c r="H158" s="1"/>
      <c r="I158" s="1"/>
      <c r="J158" s="1"/>
      <c r="K158" s="1"/>
      <c r="L158" s="1"/>
    </row>
    <row r="159" spans="2:28" x14ac:dyDescent="0.3">
      <c r="R159" s="1"/>
      <c r="T159" s="1"/>
      <c r="U159" s="1"/>
      <c r="W159" s="1"/>
      <c r="X159" s="1"/>
      <c r="Y159" s="1"/>
      <c r="Z159" s="1"/>
      <c r="AA159" s="1"/>
      <c r="AB159" s="1"/>
    </row>
    <row r="161" spans="2:28" x14ac:dyDescent="0.3">
      <c r="B161" s="1"/>
      <c r="D161" s="1"/>
      <c r="E161" s="1"/>
      <c r="G161" s="1"/>
      <c r="H161" s="1"/>
      <c r="I161" s="1"/>
      <c r="J161" s="1"/>
      <c r="K161" s="1"/>
      <c r="L161" s="1"/>
    </row>
    <row r="164" spans="2:28" x14ac:dyDescent="0.3">
      <c r="R164" s="1"/>
      <c r="T164" s="1"/>
      <c r="U164" s="1"/>
      <c r="W164" s="1"/>
      <c r="X164" s="1"/>
      <c r="Y164" s="1"/>
      <c r="Z164" s="1"/>
      <c r="AA164" s="1"/>
      <c r="AB164" s="1"/>
    </row>
    <row r="165" spans="2:28" x14ac:dyDescent="0.3">
      <c r="B165" s="1"/>
      <c r="D165" s="1"/>
      <c r="E165" s="1"/>
      <c r="G165" s="1"/>
      <c r="H165" s="1"/>
      <c r="I165" s="1"/>
      <c r="J165" s="1"/>
      <c r="K165" s="1"/>
      <c r="L165" s="1"/>
    </row>
    <row r="166" spans="2:28" x14ac:dyDescent="0.3">
      <c r="R166" s="1"/>
      <c r="T166" s="1"/>
      <c r="U166" s="1"/>
      <c r="W166" s="1"/>
      <c r="X166" s="1"/>
      <c r="Y166" s="1"/>
      <c r="Z166" s="1"/>
      <c r="AA166" s="1"/>
      <c r="AB166" s="1"/>
    </row>
    <row r="168" spans="2:28" x14ac:dyDescent="0.3">
      <c r="B168" s="1"/>
      <c r="D168" s="1"/>
      <c r="E168" s="1"/>
      <c r="G168" s="1"/>
      <c r="H168" s="1"/>
      <c r="I168" s="1"/>
      <c r="J168" s="1"/>
      <c r="K168" s="1"/>
      <c r="L168" s="1"/>
    </row>
    <row r="172" spans="2:28" x14ac:dyDescent="0.3">
      <c r="B172" s="1"/>
      <c r="D172" s="1"/>
      <c r="E172" s="1"/>
      <c r="G172" s="1"/>
      <c r="H172" s="1"/>
      <c r="I172" s="1"/>
      <c r="J172" s="1"/>
      <c r="K172" s="1"/>
      <c r="L172" s="1"/>
    </row>
    <row r="173" spans="2:28" x14ac:dyDescent="0.3">
      <c r="R173" s="1"/>
      <c r="T173" s="1"/>
      <c r="U173" s="1"/>
      <c r="W173" s="1"/>
      <c r="X173" s="1"/>
      <c r="Y173" s="1"/>
      <c r="Z173" s="1"/>
      <c r="AA173" s="1"/>
      <c r="AB173" s="1"/>
    </row>
    <row r="174" spans="2:28" x14ac:dyDescent="0.3">
      <c r="R174" s="1"/>
      <c r="T174" s="1"/>
      <c r="U174" s="1"/>
      <c r="W174" s="1"/>
      <c r="X174" s="1"/>
      <c r="Y174" s="1"/>
      <c r="Z174" s="1"/>
      <c r="AA174" s="1"/>
      <c r="AB174" s="1"/>
    </row>
    <row r="175" spans="2:28" x14ac:dyDescent="0.3">
      <c r="B175" s="1"/>
      <c r="D175" s="1"/>
      <c r="E175" s="1"/>
      <c r="G175" s="1"/>
      <c r="H175" s="1"/>
      <c r="I175" s="1"/>
      <c r="J175" s="1"/>
      <c r="K175" s="1"/>
      <c r="L175" s="1"/>
    </row>
    <row r="179" spans="2:28" x14ac:dyDescent="0.3">
      <c r="B179" s="1"/>
      <c r="D179" s="1"/>
      <c r="E179" s="1"/>
      <c r="G179" s="1"/>
      <c r="H179" s="1"/>
      <c r="I179" s="1"/>
      <c r="J179" s="1"/>
      <c r="K179" s="1"/>
      <c r="L179" s="1"/>
    </row>
    <row r="181" spans="2:28" x14ac:dyDescent="0.3">
      <c r="R181" s="1"/>
      <c r="T181" s="1"/>
      <c r="U181" s="1"/>
      <c r="W181" s="1"/>
      <c r="X181" s="1"/>
      <c r="Y181" s="1"/>
      <c r="Z181" s="1"/>
      <c r="AA181" s="1"/>
      <c r="AB181" s="1"/>
    </row>
    <row r="185" spans="2:28" x14ac:dyDescent="0.3">
      <c r="B185" s="1"/>
      <c r="D185" s="1"/>
      <c r="E185" s="1"/>
      <c r="G185" s="1"/>
      <c r="H185" s="1"/>
      <c r="I185" s="1"/>
      <c r="J185" s="1"/>
      <c r="K185" s="1"/>
      <c r="L185" s="1"/>
    </row>
    <row r="188" spans="2:28" x14ac:dyDescent="0.3">
      <c r="R188" s="1"/>
      <c r="T188" s="1"/>
      <c r="U188" s="1"/>
      <c r="W188" s="1"/>
      <c r="X188" s="1"/>
      <c r="Y188" s="1"/>
      <c r="Z188" s="1"/>
      <c r="AA188" s="1"/>
      <c r="AB188" s="1"/>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Q188"/>
  <sheetViews>
    <sheetView topLeftCell="Z1" workbookViewId="0">
      <selection activeCell="AK15" sqref="AA14:AK15"/>
    </sheetView>
  </sheetViews>
  <sheetFormatPr defaultRowHeight="14.4" x14ac:dyDescent="0.3"/>
  <cols>
    <col min="1" max="1" width="17.77734375" bestFit="1" customWidth="1"/>
    <col min="3" max="3" width="20.21875" bestFit="1" customWidth="1"/>
    <col min="4" max="4" width="18.6640625" bestFit="1" customWidth="1"/>
    <col min="5" max="5" width="16.5546875" bestFit="1" customWidth="1"/>
    <col min="6" max="6" width="20" bestFit="1" customWidth="1"/>
    <col min="7" max="7" width="22.44140625" bestFit="1" customWidth="1"/>
    <col min="8" max="8" width="16.5546875" bestFit="1" customWidth="1"/>
    <col min="9" max="9" width="31.77734375" bestFit="1" customWidth="1"/>
    <col min="10" max="10" width="16.5546875" bestFit="1" customWidth="1"/>
    <col min="11" max="11" width="26.5546875" bestFit="1" customWidth="1"/>
    <col min="12" max="12" width="16.5546875" bestFit="1" customWidth="1"/>
    <col min="19" max="19" width="20.21875" bestFit="1" customWidth="1"/>
    <col min="20" max="20" width="18.6640625" bestFit="1" customWidth="1"/>
    <col min="21" max="21" width="16.5546875" bestFit="1" customWidth="1"/>
    <col min="22" max="22" width="20" bestFit="1" customWidth="1"/>
    <col min="23" max="23" width="22.44140625" bestFit="1" customWidth="1"/>
    <col min="24" max="24" width="16.5546875" bestFit="1" customWidth="1"/>
    <col min="25" max="25" width="31.77734375" bestFit="1" customWidth="1"/>
    <col min="26" max="26" width="16.5546875" bestFit="1" customWidth="1"/>
    <col min="27" max="27" width="26.5546875" bestFit="1" customWidth="1"/>
    <col min="28" max="28" width="16.5546875" bestFit="1" customWidth="1"/>
    <col min="31" max="31" width="31.21875" bestFit="1" customWidth="1"/>
    <col min="32" max="32" width="20.21875" bestFit="1" customWidth="1"/>
    <col min="33" max="33" width="18.6640625" bestFit="1" customWidth="1"/>
    <col min="34" max="34" width="16.5546875" bestFit="1" customWidth="1"/>
    <col min="35" max="35" width="20" bestFit="1" customWidth="1"/>
    <col min="36" max="36" width="23.44140625" bestFit="1" customWidth="1"/>
    <col min="37" max="37" width="20.6640625" bestFit="1" customWidth="1"/>
    <col min="38" max="38" width="14.6640625" bestFit="1" customWidth="1"/>
    <col min="39" max="39" width="18.6640625" bestFit="1" customWidth="1"/>
    <col min="40" max="40" width="11.5546875" bestFit="1" customWidth="1"/>
    <col min="41" max="41" width="26.5546875" bestFit="1" customWidth="1"/>
    <col min="42" max="42" width="16.5546875" bestFit="1" customWidth="1"/>
    <col min="43" max="43" width="25.5546875" bestFit="1" customWidth="1"/>
  </cols>
  <sheetData>
    <row r="4" spans="2:43" ht="25.8" x14ac:dyDescent="0.5">
      <c r="B4" s="4" t="s">
        <v>11</v>
      </c>
      <c r="R4" s="4" t="s">
        <v>12</v>
      </c>
      <c r="AE4" s="3" t="s">
        <v>13</v>
      </c>
    </row>
    <row r="7" spans="2:43" ht="18" x14ac:dyDescent="0.35">
      <c r="B7" t="s">
        <v>1</v>
      </c>
      <c r="C7" t="s">
        <v>2</v>
      </c>
      <c r="D7" t="s">
        <v>3</v>
      </c>
      <c r="E7" t="s">
        <v>4</v>
      </c>
      <c r="F7" t="s">
        <v>5</v>
      </c>
      <c r="G7" t="s">
        <v>6</v>
      </c>
      <c r="H7" t="s">
        <v>14</v>
      </c>
      <c r="I7" t="s">
        <v>7</v>
      </c>
      <c r="J7" t="s">
        <v>4</v>
      </c>
      <c r="K7" t="s">
        <v>8</v>
      </c>
      <c r="L7" t="s">
        <v>4</v>
      </c>
      <c r="R7" t="s">
        <v>1</v>
      </c>
      <c r="S7" t="s">
        <v>2</v>
      </c>
      <c r="T7" t="s">
        <v>3</v>
      </c>
      <c r="U7" t="s">
        <v>4</v>
      </c>
      <c r="V7" t="s">
        <v>5</v>
      </c>
      <c r="W7" t="s">
        <v>6</v>
      </c>
      <c r="X7" t="s">
        <v>14</v>
      </c>
      <c r="Y7" t="s">
        <v>7</v>
      </c>
      <c r="Z7" t="s">
        <v>4</v>
      </c>
      <c r="AA7" t="s">
        <v>8</v>
      </c>
      <c r="AB7" t="s">
        <v>4</v>
      </c>
      <c r="AE7" t="s">
        <v>1</v>
      </c>
      <c r="AF7" t="s">
        <v>2</v>
      </c>
      <c r="AG7" t="s">
        <v>3</v>
      </c>
      <c r="AH7" t="s">
        <v>4</v>
      </c>
      <c r="AI7" t="s">
        <v>5</v>
      </c>
      <c r="AJ7" s="6" t="s">
        <v>6</v>
      </c>
      <c r="AK7" s="6" t="s">
        <v>15</v>
      </c>
      <c r="AL7" s="2" t="s">
        <v>16</v>
      </c>
      <c r="AM7" s="2" t="s">
        <v>58</v>
      </c>
      <c r="AN7" s="2" t="s">
        <v>17</v>
      </c>
      <c r="AO7" t="s">
        <v>8</v>
      </c>
      <c r="AP7" t="s">
        <v>4</v>
      </c>
      <c r="AQ7" s="18" t="s">
        <v>125</v>
      </c>
    </row>
    <row r="8" spans="2:43" ht="18" x14ac:dyDescent="0.35">
      <c r="B8" s="1"/>
      <c r="D8" s="1"/>
      <c r="E8" s="1"/>
      <c r="G8" s="1"/>
      <c r="H8" s="1"/>
      <c r="I8" s="1"/>
      <c r="J8" s="1"/>
      <c r="K8" s="1"/>
      <c r="L8" s="1"/>
      <c r="R8" s="1"/>
      <c r="T8" s="1"/>
      <c r="U8" s="1"/>
      <c r="W8" s="1"/>
      <c r="X8" s="1"/>
      <c r="Y8" s="1"/>
      <c r="Z8" s="1"/>
      <c r="AA8" s="1"/>
      <c r="AB8" s="1"/>
      <c r="AE8" s="1"/>
      <c r="AG8" s="1"/>
      <c r="AH8" s="1"/>
      <c r="AI8" s="5"/>
      <c r="AJ8" s="7"/>
      <c r="AK8" s="7"/>
      <c r="AL8" s="8"/>
      <c r="AM8" s="8"/>
      <c r="AN8" s="8"/>
      <c r="AO8" s="1"/>
      <c r="AP8" s="1"/>
      <c r="AQ8" s="12"/>
    </row>
    <row r="9" spans="2:43" ht="18" x14ac:dyDescent="0.35">
      <c r="B9" s="1"/>
      <c r="D9" s="1"/>
      <c r="E9" s="1"/>
      <c r="G9" s="1"/>
      <c r="H9" s="1"/>
      <c r="I9" s="1"/>
      <c r="J9" s="1"/>
      <c r="K9" s="1"/>
      <c r="L9" s="1"/>
      <c r="R9" s="1"/>
      <c r="T9" s="1"/>
      <c r="U9" s="1"/>
      <c r="W9" s="1"/>
      <c r="X9" s="1"/>
      <c r="Y9" s="1"/>
      <c r="Z9" s="1"/>
      <c r="AA9" s="1"/>
      <c r="AB9" s="1"/>
      <c r="AE9" s="1"/>
      <c r="AG9" s="1"/>
      <c r="AH9" s="1"/>
      <c r="AI9" s="5"/>
      <c r="AJ9" s="7"/>
      <c r="AK9" s="7"/>
      <c r="AL9" s="8"/>
      <c r="AM9" s="8"/>
      <c r="AN9" s="8"/>
      <c r="AO9" s="1"/>
      <c r="AP9" s="1"/>
      <c r="AQ9" s="12"/>
    </row>
    <row r="10" spans="2:43" ht="18" x14ac:dyDescent="0.35">
      <c r="B10" s="1">
        <f>B22</f>
        <v>3.6999999999999998E-2</v>
      </c>
      <c r="C10">
        <f>C22+C29+C36+C43+C50+C57+C64+C71</f>
        <v>8000</v>
      </c>
      <c r="D10" s="1">
        <f>SUM(D22+D29+D36+D43+D50+D57+D64+D71)/8</f>
        <v>1.5610766250000002E-13</v>
      </c>
      <c r="E10" s="1">
        <f>SUM(E22+E29+E36+E43+E50+E57+E64+E71)/8</f>
        <v>2.0572187499999997E-12</v>
      </c>
      <c r="F10">
        <f>F22+F29+F36+F43+F50+F57+F64+F71</f>
        <v>77</v>
      </c>
      <c r="G10" s="1">
        <f>F10/C10</f>
        <v>9.6249999999999999E-3</v>
      </c>
      <c r="H10" s="1">
        <f>SQRT(F10)</f>
        <v>8.7749643873921226</v>
      </c>
      <c r="I10" s="1">
        <f>SUM(I22+I29+I36+I43+I50+I57+I64+I71)/8</f>
        <v>1.0895413749999999E-3</v>
      </c>
      <c r="J10" s="1">
        <f>SUM(J22+J29+J36+J43+J50+J57+J64+J71)/8</f>
        <v>1.377668875E-4</v>
      </c>
      <c r="K10" s="1">
        <f>SUM(K22+K29+K36+K43+K50+K57+K64+K71)/8</f>
        <v>3.60388875E-3</v>
      </c>
      <c r="L10" s="1">
        <f>SUM(L22+L29+L36+L43+L50+L57+L64+L71)/8</f>
        <v>5.9410205000000002E-4</v>
      </c>
      <c r="R10" s="1">
        <f>R22</f>
        <v>3.6999999999999998E-2</v>
      </c>
      <c r="S10">
        <f>S22+S29+S36+S43+S50+S57+S64+S71</f>
        <v>8000</v>
      </c>
      <c r="T10" s="1">
        <f>SUM(T22+T29+T36+T43+T50+T57+T64+T71)/8</f>
        <v>1.2940727499999999E-13</v>
      </c>
      <c r="U10" s="1">
        <f>SUM(U22+U29+U36+U43+U50+U57+U64+U71)/8</f>
        <v>1.6851237500000001E-12</v>
      </c>
      <c r="V10">
        <f>V22+V29+V36+V43+V50+V57+V64+V71</f>
        <v>88</v>
      </c>
      <c r="W10" s="1">
        <f>V10/S10</f>
        <v>1.0999999999999999E-2</v>
      </c>
      <c r="X10" s="1">
        <f>SQRT(V10)</f>
        <v>9.3808315196468595</v>
      </c>
      <c r="Y10" s="1">
        <f>SUM(Y22+Y29+Y36+Y43+Y50+Y57+Y64+Y71)/8</f>
        <v>5.9196874999999996E-3</v>
      </c>
      <c r="Z10" s="1">
        <f>SUM(Z22+Z29+Z36+Z43+Z50+Z57+Z64+Z71)/8</f>
        <v>2.8665160000000001E-4</v>
      </c>
      <c r="AA10" s="1">
        <f>SUM(AA22+AA29+AA36+AA43+AA50+AA57+AA64+AA71)/8</f>
        <v>2.9272768750000003E-3</v>
      </c>
      <c r="AB10" s="1">
        <f>SUM(AB22+AB29+AB36+AB43+AB50+AB57+AB64+AB71)/8</f>
        <v>4.9475586249999996E-4</v>
      </c>
      <c r="AE10" s="1">
        <f>R10</f>
        <v>3.6999999999999998E-2</v>
      </c>
      <c r="AF10">
        <f>S10</f>
        <v>8000</v>
      </c>
      <c r="AG10" s="1">
        <f>T10-D10</f>
        <v>-2.6700387500000024E-14</v>
      </c>
      <c r="AH10" s="1">
        <f>(U10+E10)/2</f>
        <v>1.8711712499999999E-12</v>
      </c>
      <c r="AI10" s="5">
        <f>V10-F10</f>
        <v>11</v>
      </c>
      <c r="AJ10" s="7">
        <f>AI10/AF10</f>
        <v>1.3749999999999999E-3</v>
      </c>
      <c r="AK10" s="7">
        <f>SQRT((1/SQRT(AI10))^2+((SQRT(F10))/(AI10))^2)</f>
        <v>0.85280286542244177</v>
      </c>
      <c r="AL10" s="8">
        <f>AJ10</f>
        <v>1.3749999999999999E-3</v>
      </c>
      <c r="AM10" s="8">
        <f>AL10*2450000</f>
        <v>3368.75</v>
      </c>
      <c r="AN10" s="8">
        <f>AM10*AK10</f>
        <v>2872.8796528918506</v>
      </c>
      <c r="AO10" s="1">
        <f>(AA10+K10)/2</f>
        <v>3.2655828125E-3</v>
      </c>
      <c r="AP10" s="1">
        <f>(AB10+L10)/2</f>
        <v>5.4442895624999999E-4</v>
      </c>
      <c r="AQ10" s="12">
        <f>AO10*8.06/170*1000</f>
        <v>0.15482704393382354</v>
      </c>
    </row>
    <row r="11" spans="2:43" ht="18" x14ac:dyDescent="0.35">
      <c r="B11" s="1"/>
      <c r="D11" s="1"/>
      <c r="E11" s="1"/>
      <c r="G11" s="1"/>
      <c r="H11" s="1"/>
      <c r="I11" s="1"/>
      <c r="J11" s="1"/>
      <c r="K11" s="1"/>
      <c r="L11" s="1"/>
      <c r="R11" s="1"/>
      <c r="T11" s="1"/>
      <c r="U11" s="1"/>
      <c r="W11" s="1"/>
      <c r="X11" s="1"/>
      <c r="Y11" s="1"/>
      <c r="Z11" s="1"/>
      <c r="AA11" s="1"/>
      <c r="AB11" s="1"/>
      <c r="AE11" s="1"/>
      <c r="AG11" s="1"/>
      <c r="AH11" s="1"/>
      <c r="AI11" s="5"/>
      <c r="AJ11" s="7"/>
      <c r="AK11" s="7"/>
      <c r="AL11" s="8"/>
      <c r="AM11" s="8"/>
      <c r="AN11" s="8"/>
      <c r="AO11" s="1"/>
      <c r="AP11" s="1"/>
      <c r="AQ11" s="12"/>
    </row>
    <row r="12" spans="2:43" ht="18" x14ac:dyDescent="0.35">
      <c r="B12" s="1"/>
      <c r="D12" s="1"/>
      <c r="E12" s="1"/>
      <c r="G12" s="1"/>
      <c r="H12" s="1"/>
      <c r="I12" s="1"/>
      <c r="J12" s="1"/>
      <c r="K12" s="1"/>
      <c r="L12" s="1"/>
      <c r="R12" s="1"/>
      <c r="T12" s="1"/>
      <c r="U12" s="1"/>
      <c r="W12" s="1"/>
      <c r="X12" s="1"/>
      <c r="Y12" s="1"/>
      <c r="Z12" s="1"/>
      <c r="AA12" s="1"/>
      <c r="AB12" s="1"/>
      <c r="AE12" s="1"/>
      <c r="AG12" s="1"/>
      <c r="AH12" s="1"/>
      <c r="AI12" s="5"/>
      <c r="AJ12" s="7"/>
      <c r="AK12" s="7"/>
      <c r="AL12" s="8"/>
      <c r="AM12" s="8"/>
      <c r="AN12" s="8"/>
      <c r="AO12" s="1"/>
      <c r="AP12" s="1"/>
      <c r="AQ12" s="12"/>
    </row>
    <row r="13" spans="2:43" ht="18" x14ac:dyDescent="0.35">
      <c r="B13" s="1"/>
      <c r="D13" s="1"/>
      <c r="E13" s="1"/>
      <c r="G13" s="1"/>
      <c r="H13" s="1"/>
      <c r="I13" s="1"/>
      <c r="J13" s="1"/>
      <c r="K13" s="1"/>
      <c r="L13" s="1"/>
      <c r="R13" s="1"/>
      <c r="T13" s="1"/>
      <c r="U13" s="1"/>
      <c r="W13" s="1"/>
      <c r="X13" s="1"/>
      <c r="Y13" s="1"/>
      <c r="Z13" s="1"/>
      <c r="AA13" s="1"/>
      <c r="AB13" s="1"/>
      <c r="AE13" s="1"/>
      <c r="AG13" s="1"/>
      <c r="AH13" s="1"/>
      <c r="AI13" s="5"/>
      <c r="AJ13" s="7"/>
      <c r="AK13" s="7"/>
      <c r="AL13" s="8"/>
      <c r="AM13" s="8"/>
      <c r="AN13" s="8"/>
      <c r="AO13" s="1"/>
      <c r="AP13" s="1"/>
      <c r="AQ13" s="12"/>
    </row>
    <row r="14" spans="2:43" ht="23.4" x14ac:dyDescent="0.45">
      <c r="B14" s="46"/>
      <c r="D14" s="1"/>
      <c r="E14" s="1"/>
      <c r="G14" s="1"/>
      <c r="H14" s="1"/>
      <c r="I14" s="1"/>
      <c r="J14" s="1"/>
      <c r="K14" s="1"/>
      <c r="L14" s="1"/>
      <c r="R14" s="1"/>
      <c r="T14" s="1"/>
      <c r="U14" s="1"/>
      <c r="W14" s="1"/>
      <c r="X14" s="1"/>
      <c r="Y14" s="1"/>
      <c r="Z14" s="1"/>
      <c r="AA14" s="1"/>
      <c r="AB14" s="1"/>
      <c r="AE14" s="1"/>
      <c r="AG14" s="1"/>
      <c r="AH14" s="1"/>
      <c r="AI14" s="5"/>
      <c r="AJ14" s="7"/>
      <c r="AK14" s="7"/>
      <c r="AL14" s="45"/>
      <c r="AM14" s="8"/>
      <c r="AN14" s="8"/>
      <c r="AO14" s="1"/>
      <c r="AP14" s="1"/>
      <c r="AQ14" s="12"/>
    </row>
    <row r="15" spans="2:43" ht="18" x14ac:dyDescent="0.35">
      <c r="B15" s="1"/>
      <c r="D15" s="1"/>
      <c r="E15" s="1"/>
      <c r="G15" s="1"/>
      <c r="H15" s="1"/>
      <c r="I15" s="1"/>
      <c r="J15" s="1"/>
      <c r="K15" s="1"/>
      <c r="L15" s="1"/>
      <c r="R15" s="1"/>
      <c r="T15" s="1"/>
      <c r="U15" s="1"/>
      <c r="W15" s="1"/>
      <c r="X15" s="1"/>
      <c r="Y15" s="1"/>
      <c r="Z15" s="1"/>
      <c r="AA15" s="1"/>
      <c r="AB15" s="1"/>
      <c r="AE15" s="1"/>
      <c r="AG15" s="1"/>
      <c r="AH15" s="1"/>
      <c r="AI15" s="5"/>
      <c r="AJ15" s="7"/>
      <c r="AK15" s="7"/>
      <c r="AL15" s="8"/>
      <c r="AM15" s="8"/>
      <c r="AN15" s="8"/>
      <c r="AO15" s="1"/>
      <c r="AP15" s="1"/>
      <c r="AQ15" s="12"/>
    </row>
    <row r="16" spans="2:43" x14ac:dyDescent="0.3">
      <c r="B16" s="1" t="s">
        <v>0</v>
      </c>
      <c r="D16" s="1"/>
      <c r="E16" s="1"/>
      <c r="G16" s="1"/>
      <c r="H16" s="1"/>
      <c r="I16" s="1"/>
      <c r="J16" s="1"/>
      <c r="K16" s="1"/>
      <c r="L16" s="1"/>
      <c r="R16" s="1" t="s">
        <v>10</v>
      </c>
      <c r="T16" s="1"/>
      <c r="U16" s="1"/>
      <c r="W16" s="1"/>
      <c r="X16" s="1"/>
      <c r="Y16" s="1"/>
      <c r="Z16" s="1"/>
      <c r="AA16" s="1"/>
      <c r="AB16" s="1"/>
      <c r="AG16" s="1"/>
      <c r="AH16" s="1"/>
      <c r="AI16" s="5"/>
    </row>
    <row r="17" spans="2:28" x14ac:dyDescent="0.3">
      <c r="B17" t="s">
        <v>145</v>
      </c>
      <c r="R17" t="s">
        <v>145</v>
      </c>
    </row>
    <row r="18" spans="2:28" x14ac:dyDescent="0.3">
      <c r="D18" s="1"/>
      <c r="E18" s="1"/>
      <c r="T18" s="1"/>
      <c r="U18" s="1"/>
    </row>
    <row r="19" spans="2:28" x14ac:dyDescent="0.3">
      <c r="R19" s="1"/>
      <c r="T19" s="1"/>
      <c r="U19" s="1"/>
      <c r="W19" s="1"/>
      <c r="X19" s="1"/>
      <c r="Y19" s="1"/>
      <c r="Z19" s="1"/>
      <c r="AA19" s="1"/>
      <c r="AB19" s="1"/>
    </row>
    <row r="20" spans="2:28" x14ac:dyDescent="0.3">
      <c r="B20" s="1"/>
      <c r="C20">
        <v>0</v>
      </c>
      <c r="D20" s="1"/>
      <c r="E20" s="1"/>
      <c r="G20" s="1"/>
      <c r="H20" s="1"/>
      <c r="I20" s="1"/>
      <c r="J20" s="1"/>
      <c r="K20" s="1"/>
      <c r="L20" s="1"/>
      <c r="R20" s="1"/>
      <c r="S20">
        <v>0</v>
      </c>
      <c r="T20" s="1"/>
      <c r="U20" s="1"/>
      <c r="W20" s="1"/>
      <c r="X20" s="1"/>
      <c r="Y20" s="1"/>
      <c r="Z20" s="1"/>
      <c r="AA20" s="1"/>
      <c r="AB20" s="1"/>
    </row>
    <row r="21" spans="2:28" x14ac:dyDescent="0.3">
      <c r="B21" t="s">
        <v>1</v>
      </c>
      <c r="C21" t="s">
        <v>2</v>
      </c>
      <c r="D21" t="s">
        <v>3</v>
      </c>
      <c r="E21" t="s">
        <v>4</v>
      </c>
      <c r="F21" t="s">
        <v>5</v>
      </c>
      <c r="G21" t="s">
        <v>6</v>
      </c>
      <c r="H21" t="s">
        <v>4</v>
      </c>
      <c r="I21" t="s">
        <v>7</v>
      </c>
      <c r="J21" t="s">
        <v>4</v>
      </c>
      <c r="K21" t="s">
        <v>8</v>
      </c>
      <c r="L21" t="s">
        <v>4</v>
      </c>
      <c r="R21" t="s">
        <v>1</v>
      </c>
      <c r="S21" t="s">
        <v>2</v>
      </c>
      <c r="T21" t="s">
        <v>3</v>
      </c>
      <c r="U21" t="s">
        <v>4</v>
      </c>
      <c r="V21" t="s">
        <v>5</v>
      </c>
      <c r="W21" t="s">
        <v>6</v>
      </c>
      <c r="X21" t="s">
        <v>4</v>
      </c>
      <c r="Y21" t="s">
        <v>7</v>
      </c>
      <c r="Z21" t="s">
        <v>4</v>
      </c>
      <c r="AA21" t="s">
        <v>8</v>
      </c>
      <c r="AB21" t="s">
        <v>4</v>
      </c>
    </row>
    <row r="22" spans="2:28" x14ac:dyDescent="0.3">
      <c r="B22" s="1">
        <v>3.6999999999999998E-2</v>
      </c>
      <c r="C22">
        <v>1000</v>
      </c>
      <c r="D22" s="1">
        <v>4.4335900000000002E-13</v>
      </c>
      <c r="E22" s="1">
        <v>4.0296190000000002E-12</v>
      </c>
      <c r="F22">
        <v>15</v>
      </c>
      <c r="G22" s="1">
        <v>1.4999999999999999E-2</v>
      </c>
      <c r="H22" s="1">
        <v>0.1600801</v>
      </c>
      <c r="I22" s="1">
        <v>1.703392E-3</v>
      </c>
      <c r="J22" s="1">
        <v>1.8436169999999999E-4</v>
      </c>
      <c r="K22" s="1">
        <v>6.1916510000000003E-3</v>
      </c>
      <c r="L22" s="1">
        <v>9.8723790000000006E-4</v>
      </c>
      <c r="R22" s="1">
        <v>3.6999999999999998E-2</v>
      </c>
      <c r="S22">
        <v>2000</v>
      </c>
      <c r="T22" s="1">
        <v>2.9126019999999998E-13</v>
      </c>
      <c r="U22" s="1">
        <v>3.6511620000000003E-12</v>
      </c>
      <c r="V22">
        <v>26</v>
      </c>
      <c r="W22" s="1">
        <v>1.2999999999999999E-2</v>
      </c>
      <c r="X22" s="1">
        <v>0.12585279999999999</v>
      </c>
      <c r="Y22" s="1">
        <v>1.2008720000000001E-2</v>
      </c>
      <c r="Z22" s="1">
        <v>5.6846119999999999E-4</v>
      </c>
      <c r="AA22" s="1">
        <v>6.103827E-3</v>
      </c>
      <c r="AB22" s="1">
        <v>9.7769229999999994E-4</v>
      </c>
    </row>
    <row r="24" spans="2:28" x14ac:dyDescent="0.3">
      <c r="B24" t="s">
        <v>9</v>
      </c>
      <c r="R24" t="s">
        <v>9</v>
      </c>
    </row>
    <row r="26" spans="2:28" x14ac:dyDescent="0.3">
      <c r="R26" s="1"/>
      <c r="T26" s="1"/>
      <c r="U26" s="1"/>
      <c r="W26" s="1"/>
      <c r="X26" s="1"/>
      <c r="Y26" s="1"/>
      <c r="Z26" s="1"/>
      <c r="AA26" s="1"/>
      <c r="AB26" s="1"/>
    </row>
    <row r="27" spans="2:28" x14ac:dyDescent="0.3">
      <c r="B27" s="1"/>
      <c r="C27">
        <v>0</v>
      </c>
      <c r="D27" s="1"/>
      <c r="E27" s="1"/>
      <c r="G27" s="1"/>
      <c r="H27" s="1"/>
      <c r="I27" s="1"/>
      <c r="J27" s="1"/>
      <c r="K27" s="1"/>
      <c r="L27" s="1"/>
      <c r="R27" s="1"/>
      <c r="S27">
        <v>0</v>
      </c>
      <c r="T27" s="1"/>
      <c r="U27" s="1"/>
      <c r="W27" s="1"/>
      <c r="X27" s="1"/>
      <c r="Y27" s="1"/>
      <c r="Z27" s="1"/>
      <c r="AA27" s="1"/>
      <c r="AB27" s="1"/>
    </row>
    <row r="28" spans="2:28" x14ac:dyDescent="0.3">
      <c r="B28" t="s">
        <v>1</v>
      </c>
      <c r="C28" t="s">
        <v>2</v>
      </c>
      <c r="D28" t="s">
        <v>3</v>
      </c>
      <c r="E28" t="s">
        <v>4</v>
      </c>
      <c r="F28" t="s">
        <v>5</v>
      </c>
      <c r="G28" t="s">
        <v>6</v>
      </c>
      <c r="H28" t="s">
        <v>4</v>
      </c>
      <c r="I28" t="s">
        <v>7</v>
      </c>
      <c r="J28" t="s">
        <v>4</v>
      </c>
      <c r="K28" t="s">
        <v>8</v>
      </c>
      <c r="L28" t="s">
        <v>4</v>
      </c>
      <c r="R28" t="s">
        <v>1</v>
      </c>
      <c r="S28" t="s">
        <v>2</v>
      </c>
      <c r="T28" t="s">
        <v>3</v>
      </c>
      <c r="U28" t="s">
        <v>4</v>
      </c>
      <c r="V28" t="s">
        <v>5</v>
      </c>
      <c r="W28" t="s">
        <v>6</v>
      </c>
      <c r="X28" t="s">
        <v>4</v>
      </c>
      <c r="Y28" t="s">
        <v>7</v>
      </c>
      <c r="Z28" t="s">
        <v>4</v>
      </c>
      <c r="AA28" t="s">
        <v>8</v>
      </c>
      <c r="AB28" t="s">
        <v>4</v>
      </c>
    </row>
    <row r="29" spans="2:28" x14ac:dyDescent="0.3">
      <c r="B29" s="1">
        <v>3.6999999999999998E-2</v>
      </c>
      <c r="C29">
        <v>2000</v>
      </c>
      <c r="D29" s="1">
        <v>2.9366489999999998E-13</v>
      </c>
      <c r="E29" s="1">
        <v>3.8661259999999999E-12</v>
      </c>
      <c r="F29">
        <v>21</v>
      </c>
      <c r="G29" s="1">
        <v>1.0500000000000001E-2</v>
      </c>
      <c r="H29" s="1">
        <v>0.1067495</v>
      </c>
      <c r="I29" s="1">
        <v>1.7150550000000001E-3</v>
      </c>
      <c r="J29" s="1">
        <v>1.7068610000000001E-4</v>
      </c>
      <c r="K29" s="1">
        <v>5.8606860000000004E-3</v>
      </c>
      <c r="L29" s="1">
        <v>9.3386059999999999E-4</v>
      </c>
      <c r="R29" s="1">
        <v>3.6999999999999998E-2</v>
      </c>
      <c r="S29">
        <v>2000</v>
      </c>
      <c r="T29" s="1">
        <v>2.9141289999999997E-13</v>
      </c>
      <c r="U29" s="1">
        <v>3.4575259999999998E-12</v>
      </c>
      <c r="V29">
        <v>27</v>
      </c>
      <c r="W29" s="1">
        <v>1.35E-2</v>
      </c>
      <c r="X29" s="1">
        <v>0.13162979999999999</v>
      </c>
      <c r="Y29" s="1">
        <v>1.1813519999999999E-2</v>
      </c>
      <c r="Z29" s="1">
        <v>5.770145E-4</v>
      </c>
      <c r="AA29" s="1">
        <v>5.8825070000000004E-3</v>
      </c>
      <c r="AB29" s="1">
        <v>1.005524E-3</v>
      </c>
    </row>
    <row r="31" spans="2:28" x14ac:dyDescent="0.3">
      <c r="B31" t="s">
        <v>9</v>
      </c>
      <c r="R31" t="s">
        <v>9</v>
      </c>
    </row>
    <row r="33" spans="2:28" x14ac:dyDescent="0.3">
      <c r="R33" s="1"/>
      <c r="T33" s="1"/>
      <c r="U33" s="1"/>
      <c r="W33" s="1"/>
      <c r="X33" s="1"/>
      <c r="Y33" s="1"/>
      <c r="Z33" s="1"/>
      <c r="AA33" s="1"/>
      <c r="AB33" s="1"/>
    </row>
    <row r="34" spans="2:28" x14ac:dyDescent="0.3">
      <c r="B34" s="1"/>
      <c r="C34">
        <v>0</v>
      </c>
      <c r="D34" s="1"/>
      <c r="E34" s="1"/>
      <c r="G34" s="1"/>
      <c r="H34" s="1"/>
      <c r="I34" s="1"/>
      <c r="J34" s="1"/>
      <c r="K34" s="1"/>
      <c r="L34" s="1"/>
      <c r="R34" s="1"/>
      <c r="S34">
        <v>0</v>
      </c>
      <c r="T34" s="1"/>
      <c r="U34" s="1"/>
      <c r="W34" s="1"/>
      <c r="X34" s="1"/>
      <c r="Y34" s="1"/>
      <c r="Z34" s="1"/>
      <c r="AA34" s="1"/>
      <c r="AB34" s="1"/>
    </row>
    <row r="35" spans="2:28" x14ac:dyDescent="0.3">
      <c r="B35" t="s">
        <v>1</v>
      </c>
      <c r="C35" t="s">
        <v>2</v>
      </c>
      <c r="D35" t="s">
        <v>3</v>
      </c>
      <c r="E35" t="s">
        <v>4</v>
      </c>
      <c r="F35" t="s">
        <v>5</v>
      </c>
      <c r="G35" t="s">
        <v>6</v>
      </c>
      <c r="H35" t="s">
        <v>4</v>
      </c>
      <c r="I35" t="s">
        <v>7</v>
      </c>
      <c r="J35" t="s">
        <v>4</v>
      </c>
      <c r="K35" t="s">
        <v>8</v>
      </c>
      <c r="L35" t="s">
        <v>4</v>
      </c>
      <c r="R35" t="s">
        <v>1</v>
      </c>
      <c r="S35" t="s">
        <v>2</v>
      </c>
      <c r="T35" t="s">
        <v>3</v>
      </c>
      <c r="U35" t="s">
        <v>4</v>
      </c>
      <c r="V35" t="s">
        <v>5</v>
      </c>
      <c r="W35" t="s">
        <v>6</v>
      </c>
      <c r="X35" t="s">
        <v>4</v>
      </c>
      <c r="Y35" t="s">
        <v>7</v>
      </c>
      <c r="Z35" t="s">
        <v>4</v>
      </c>
      <c r="AA35" t="s">
        <v>8</v>
      </c>
      <c r="AB35" t="s">
        <v>4</v>
      </c>
    </row>
    <row r="36" spans="2:28" x14ac:dyDescent="0.3">
      <c r="B36" s="1">
        <v>3.6999999999999998E-2</v>
      </c>
      <c r="C36">
        <v>2000</v>
      </c>
      <c r="D36" s="1">
        <v>2.2652259999999999E-13</v>
      </c>
      <c r="E36" s="1">
        <v>2.979691E-12</v>
      </c>
      <c r="F36">
        <v>19</v>
      </c>
      <c r="G36" s="1">
        <v>9.4999999999999998E-3</v>
      </c>
      <c r="H36" s="1">
        <v>0.1020537</v>
      </c>
      <c r="I36" s="1">
        <v>1.7537900000000001E-3</v>
      </c>
      <c r="J36" s="1">
        <v>1.85117E-4</v>
      </c>
      <c r="K36" s="1">
        <v>5.601824E-3</v>
      </c>
      <c r="L36" s="1">
        <v>9.2686340000000002E-4</v>
      </c>
      <c r="R36" s="1">
        <v>3.6999999999999998E-2</v>
      </c>
      <c r="S36">
        <v>2000</v>
      </c>
      <c r="T36" s="1">
        <v>2.4996069999999998E-13</v>
      </c>
      <c r="U36" s="1">
        <v>3.2419790000000001E-12</v>
      </c>
      <c r="V36">
        <v>18</v>
      </c>
      <c r="W36" s="1">
        <v>8.9999999999999993E-3</v>
      </c>
      <c r="X36" s="1">
        <v>9.4464080000000006E-2</v>
      </c>
      <c r="Y36" s="1">
        <v>1.174715E-2</v>
      </c>
      <c r="Z36" s="1">
        <v>5.7234449999999997E-4</v>
      </c>
      <c r="AA36" s="1">
        <v>5.7208199999999997E-3</v>
      </c>
      <c r="AB36" s="1">
        <v>1.016449E-3</v>
      </c>
    </row>
    <row r="37" spans="2:28" x14ac:dyDescent="0.3">
      <c r="B37" s="1"/>
      <c r="D37" s="1"/>
      <c r="E37" s="1"/>
      <c r="G37" s="1"/>
      <c r="H37" s="1"/>
      <c r="I37" s="1"/>
      <c r="J37" s="1"/>
      <c r="K37" s="1"/>
      <c r="L37" s="1"/>
      <c r="R37" s="1"/>
      <c r="T37" s="1"/>
      <c r="U37" s="1"/>
      <c r="W37" s="1"/>
      <c r="X37" s="1"/>
      <c r="Y37" s="1"/>
      <c r="Z37" s="1"/>
      <c r="AA37" s="1"/>
      <c r="AB37" s="1"/>
    </row>
    <row r="38" spans="2:28" x14ac:dyDescent="0.3">
      <c r="B38" t="s">
        <v>9</v>
      </c>
      <c r="R38" t="s">
        <v>9</v>
      </c>
    </row>
    <row r="39" spans="2:28" x14ac:dyDescent="0.3">
      <c r="R39" s="1"/>
      <c r="T39" s="1"/>
      <c r="U39" s="1"/>
      <c r="W39" s="1"/>
      <c r="X39" s="1"/>
      <c r="Y39" s="1"/>
      <c r="Z39" s="1"/>
      <c r="AA39" s="1"/>
      <c r="AB39" s="1"/>
    </row>
    <row r="41" spans="2:28" x14ac:dyDescent="0.3">
      <c r="B41" s="1"/>
      <c r="C41">
        <v>0</v>
      </c>
      <c r="D41" s="1"/>
      <c r="E41" s="1"/>
      <c r="G41" s="1"/>
      <c r="H41" s="1"/>
      <c r="I41" s="1"/>
      <c r="J41" s="1"/>
      <c r="K41" s="1"/>
      <c r="L41" s="1"/>
      <c r="R41" s="1"/>
      <c r="S41">
        <v>0</v>
      </c>
      <c r="T41" s="1"/>
      <c r="U41" s="1"/>
      <c r="W41" s="1"/>
      <c r="X41" s="1"/>
      <c r="Y41" s="1"/>
      <c r="Z41" s="1"/>
      <c r="AA41" s="1"/>
      <c r="AB41" s="1"/>
    </row>
    <row r="42" spans="2:28" x14ac:dyDescent="0.3">
      <c r="B42" t="s">
        <v>1</v>
      </c>
      <c r="C42" t="s">
        <v>2</v>
      </c>
      <c r="D42" t="s">
        <v>3</v>
      </c>
      <c r="E42" t="s">
        <v>4</v>
      </c>
      <c r="F42" t="s">
        <v>5</v>
      </c>
      <c r="G42" t="s">
        <v>6</v>
      </c>
      <c r="H42" t="s">
        <v>4</v>
      </c>
      <c r="I42" t="s">
        <v>7</v>
      </c>
      <c r="J42" t="s">
        <v>4</v>
      </c>
      <c r="K42" t="s">
        <v>8</v>
      </c>
      <c r="L42" t="s">
        <v>4</v>
      </c>
      <c r="R42" t="s">
        <v>1</v>
      </c>
      <c r="S42" t="s">
        <v>2</v>
      </c>
      <c r="T42" t="s">
        <v>3</v>
      </c>
      <c r="U42" t="s">
        <v>4</v>
      </c>
      <c r="V42" t="s">
        <v>5</v>
      </c>
      <c r="W42" t="s">
        <v>6</v>
      </c>
      <c r="X42" t="s">
        <v>4</v>
      </c>
      <c r="Y42" t="s">
        <v>7</v>
      </c>
      <c r="Z42" t="s">
        <v>4</v>
      </c>
      <c r="AA42" t="s">
        <v>8</v>
      </c>
      <c r="AB42" t="s">
        <v>4</v>
      </c>
    </row>
    <row r="43" spans="2:28" x14ac:dyDescent="0.3">
      <c r="B43" s="1">
        <v>3.6999999999999998E-2</v>
      </c>
      <c r="C43">
        <v>2000</v>
      </c>
      <c r="D43" s="1">
        <v>1.390741E-13</v>
      </c>
      <c r="E43" s="1">
        <v>3.0487889999999998E-12</v>
      </c>
      <c r="F43">
        <v>18</v>
      </c>
      <c r="G43" s="1">
        <v>8.9999999999999993E-3</v>
      </c>
      <c r="H43" s="1">
        <v>0.1136066</v>
      </c>
      <c r="I43" s="1">
        <v>1.7648970000000001E-3</v>
      </c>
      <c r="J43" s="1">
        <v>1.8815069999999999E-4</v>
      </c>
      <c r="K43" s="1">
        <v>5.7336949999999996E-3</v>
      </c>
      <c r="L43" s="1">
        <v>9.5869390000000003E-4</v>
      </c>
      <c r="R43" s="1">
        <v>3.6999999999999998E-2</v>
      </c>
      <c r="S43">
        <v>2000</v>
      </c>
      <c r="T43" s="1">
        <v>2.0262439999999999E-13</v>
      </c>
      <c r="U43" s="1">
        <v>3.130323E-12</v>
      </c>
      <c r="V43">
        <v>17</v>
      </c>
      <c r="W43" s="1">
        <v>8.5000000000000006E-3</v>
      </c>
      <c r="X43" s="1">
        <v>9.1912859999999999E-2</v>
      </c>
      <c r="Y43" s="1">
        <v>1.1788109999999999E-2</v>
      </c>
      <c r="Z43" s="1">
        <v>5.7539259999999997E-4</v>
      </c>
      <c r="AA43" s="1">
        <v>5.7110609999999999E-3</v>
      </c>
      <c r="AB43" s="1">
        <v>9.583816E-4</v>
      </c>
    </row>
    <row r="44" spans="2:28" x14ac:dyDescent="0.3">
      <c r="B44" s="1"/>
      <c r="D44" s="1"/>
      <c r="E44" s="1"/>
      <c r="G44" s="1"/>
      <c r="H44" s="1"/>
      <c r="I44" s="1"/>
      <c r="J44" s="1"/>
      <c r="K44" s="1"/>
      <c r="L44" s="1"/>
      <c r="R44" s="1"/>
      <c r="T44" s="1"/>
      <c r="U44" s="1"/>
      <c r="W44" s="1"/>
      <c r="X44" s="1"/>
      <c r="Y44" s="1"/>
      <c r="Z44" s="1"/>
      <c r="AA44" s="1"/>
      <c r="AB44" s="1"/>
    </row>
    <row r="45" spans="2:28" x14ac:dyDescent="0.3">
      <c r="B45" t="s">
        <v>9</v>
      </c>
    </row>
    <row r="46" spans="2:28" x14ac:dyDescent="0.3">
      <c r="R46" s="1"/>
      <c r="T46" s="1"/>
      <c r="U46" s="1"/>
      <c r="W46" s="1"/>
      <c r="X46" s="1"/>
      <c r="Y46" s="1"/>
      <c r="Z46" s="1"/>
      <c r="AA46" s="1"/>
      <c r="AB46" s="1"/>
    </row>
    <row r="48" spans="2:28" x14ac:dyDescent="0.3">
      <c r="B48" s="1"/>
      <c r="C48">
        <v>0</v>
      </c>
      <c r="D48" s="1"/>
      <c r="E48" s="1"/>
      <c r="G48" s="1"/>
      <c r="H48" s="1"/>
      <c r="I48" s="1"/>
      <c r="J48" s="1"/>
      <c r="K48" s="1"/>
      <c r="L48" s="1"/>
      <c r="R48" s="1"/>
      <c r="T48" s="1"/>
      <c r="U48" s="1"/>
      <c r="W48" s="1"/>
      <c r="X48" s="1"/>
      <c r="Y48" s="1"/>
      <c r="Z48" s="1"/>
      <c r="AA48" s="1"/>
      <c r="AB48" s="1"/>
    </row>
    <row r="49" spans="2:28" x14ac:dyDescent="0.3">
      <c r="B49" t="s">
        <v>1</v>
      </c>
      <c r="C49" t="s">
        <v>2</v>
      </c>
      <c r="D49" t="s">
        <v>3</v>
      </c>
      <c r="E49" t="s">
        <v>4</v>
      </c>
      <c r="F49" t="s">
        <v>5</v>
      </c>
      <c r="G49" t="s">
        <v>6</v>
      </c>
      <c r="H49" t="s">
        <v>4</v>
      </c>
      <c r="I49" t="s">
        <v>7</v>
      </c>
      <c r="J49" t="s">
        <v>4</v>
      </c>
      <c r="K49" t="s">
        <v>8</v>
      </c>
      <c r="L49" t="s">
        <v>4</v>
      </c>
    </row>
    <row r="50" spans="2:28" x14ac:dyDescent="0.3">
      <c r="B50" s="1">
        <v>3.6999999999999998E-2</v>
      </c>
      <c r="C50">
        <v>1000</v>
      </c>
      <c r="D50" s="1">
        <v>1.4624069999999999E-13</v>
      </c>
      <c r="E50" s="1">
        <v>2.533525E-12</v>
      </c>
      <c r="F50">
        <v>4</v>
      </c>
      <c r="G50" s="1">
        <v>4.0000000000000001E-3</v>
      </c>
      <c r="H50" s="1">
        <v>6.3150520000000002E-2</v>
      </c>
      <c r="I50" s="1">
        <v>1.7791969999999999E-3</v>
      </c>
      <c r="J50" s="1">
        <v>3.7381959999999999E-4</v>
      </c>
      <c r="K50" s="1">
        <v>5.4432539999999998E-3</v>
      </c>
      <c r="L50" s="1">
        <v>9.4616060000000002E-4</v>
      </c>
      <c r="R50" s="1"/>
      <c r="T50" s="1"/>
      <c r="U50" s="1"/>
      <c r="W50" s="1"/>
      <c r="X50" s="1"/>
      <c r="Y50" s="1"/>
      <c r="Z50" s="1"/>
      <c r="AA50" s="1"/>
      <c r="AB50" s="1"/>
    </row>
    <row r="51" spans="2:28" x14ac:dyDescent="0.3">
      <c r="B51" s="1"/>
      <c r="D51" s="1"/>
      <c r="E51" s="1"/>
      <c r="G51" s="1"/>
      <c r="H51" s="1"/>
      <c r="I51" s="1"/>
      <c r="J51" s="1"/>
      <c r="K51" s="1"/>
      <c r="L51" s="1"/>
      <c r="R51" s="1"/>
      <c r="T51" s="1"/>
      <c r="U51" s="1"/>
      <c r="W51" s="1"/>
      <c r="X51" s="1"/>
      <c r="Y51" s="1"/>
      <c r="Z51" s="1"/>
      <c r="AA51" s="1"/>
      <c r="AB51" s="1"/>
    </row>
    <row r="55" spans="2:28" x14ac:dyDescent="0.3">
      <c r="B55" s="1"/>
      <c r="D55" s="1"/>
      <c r="E55" s="1"/>
      <c r="G55" s="1"/>
      <c r="H55" s="1"/>
      <c r="I55" s="1"/>
      <c r="J55" s="1"/>
      <c r="K55" s="1"/>
      <c r="L55" s="1"/>
      <c r="R55" s="1"/>
      <c r="T55" s="1"/>
      <c r="U55" s="1"/>
      <c r="W55" s="1"/>
      <c r="X55" s="1"/>
      <c r="Y55" s="1"/>
      <c r="Z55" s="1"/>
      <c r="AA55" s="1"/>
      <c r="AB55" s="1"/>
    </row>
    <row r="57" spans="2:28" x14ac:dyDescent="0.3">
      <c r="B57" s="1"/>
      <c r="D57" s="1"/>
      <c r="E57" s="1"/>
      <c r="G57" s="1"/>
      <c r="H57" s="1"/>
      <c r="I57" s="1"/>
      <c r="J57" s="1"/>
      <c r="K57" s="1"/>
      <c r="L57" s="1"/>
      <c r="R57" s="1"/>
      <c r="T57" s="1"/>
      <c r="U57" s="1"/>
      <c r="W57" s="1"/>
      <c r="X57" s="1"/>
      <c r="Y57" s="1"/>
      <c r="Z57" s="1"/>
      <c r="AA57" s="1"/>
      <c r="AB57" s="1"/>
    </row>
    <row r="58" spans="2:28" x14ac:dyDescent="0.3">
      <c r="B58" s="1"/>
      <c r="D58" s="1"/>
      <c r="E58" s="1"/>
      <c r="G58" s="1"/>
      <c r="H58" s="1"/>
      <c r="I58" s="1"/>
      <c r="J58" s="1"/>
      <c r="K58" s="1"/>
      <c r="L58" s="1"/>
      <c r="R58" s="1"/>
      <c r="T58" s="1"/>
      <c r="U58" s="1"/>
      <c r="W58" s="1"/>
      <c r="X58" s="1"/>
      <c r="Y58" s="1"/>
      <c r="Z58" s="1"/>
      <c r="AA58" s="1"/>
      <c r="AB58" s="1"/>
    </row>
    <row r="62" spans="2:28" x14ac:dyDescent="0.3">
      <c r="B62" s="1"/>
      <c r="D62" s="1"/>
      <c r="E62" s="1"/>
      <c r="G62" s="1"/>
      <c r="H62" s="1"/>
      <c r="I62" s="1"/>
      <c r="J62" s="1"/>
      <c r="K62" s="1"/>
      <c r="L62" s="1"/>
      <c r="R62" s="1"/>
      <c r="T62" s="1"/>
      <c r="U62" s="1"/>
      <c r="W62" s="1"/>
      <c r="X62" s="1"/>
      <c r="Y62" s="1"/>
      <c r="Z62" s="1"/>
      <c r="AA62" s="1"/>
      <c r="AB62" s="1"/>
    </row>
    <row r="64" spans="2:28" x14ac:dyDescent="0.3">
      <c r="B64" s="1"/>
      <c r="D64" s="1"/>
      <c r="E64" s="1"/>
      <c r="G64" s="1"/>
      <c r="H64" s="1"/>
      <c r="I64" s="1"/>
      <c r="J64" s="1"/>
      <c r="K64" s="1"/>
      <c r="L64" s="1"/>
      <c r="R64" s="1"/>
      <c r="T64" s="1"/>
      <c r="U64" s="1"/>
      <c r="W64" s="1"/>
      <c r="X64" s="1"/>
      <c r="Y64" s="1"/>
      <c r="Z64" s="1"/>
      <c r="AA64" s="1"/>
      <c r="AB64" s="1"/>
    </row>
    <row r="65" spans="2:28" x14ac:dyDescent="0.3">
      <c r="B65" s="1"/>
      <c r="D65" s="1"/>
      <c r="E65" s="1"/>
      <c r="G65" s="1"/>
      <c r="H65" s="1"/>
      <c r="I65" s="1"/>
      <c r="J65" s="1"/>
      <c r="K65" s="1"/>
      <c r="L65" s="1"/>
      <c r="R65" s="1"/>
      <c r="T65" s="1"/>
      <c r="U65" s="1"/>
      <c r="W65" s="1"/>
      <c r="X65" s="1"/>
      <c r="Y65" s="1"/>
      <c r="Z65" s="1"/>
      <c r="AA65" s="1"/>
      <c r="AB65" s="1"/>
    </row>
    <row r="69" spans="2:28" x14ac:dyDescent="0.3">
      <c r="B69" s="1"/>
      <c r="D69" s="1"/>
      <c r="E69" s="1"/>
      <c r="G69" s="1"/>
      <c r="H69" s="1"/>
      <c r="I69" s="1"/>
      <c r="J69" s="1"/>
      <c r="K69" s="1"/>
      <c r="L69" s="1"/>
      <c r="R69" s="1"/>
      <c r="T69" s="1"/>
      <c r="U69" s="1"/>
      <c r="W69" s="1"/>
      <c r="X69" s="1"/>
      <c r="Y69" s="1"/>
      <c r="Z69" s="1"/>
      <c r="AA69" s="1"/>
      <c r="AB69" s="1"/>
    </row>
    <row r="71" spans="2:28" x14ac:dyDescent="0.3">
      <c r="B71" s="1"/>
      <c r="D71" s="1"/>
      <c r="E71" s="1"/>
      <c r="G71" s="1"/>
      <c r="H71" s="1"/>
      <c r="I71" s="1"/>
      <c r="J71" s="1"/>
      <c r="K71" s="1"/>
      <c r="L71" s="1"/>
      <c r="R71" s="1"/>
      <c r="T71" s="1"/>
      <c r="U71" s="1"/>
      <c r="W71" s="1"/>
      <c r="X71" s="1"/>
      <c r="Y71" s="1"/>
      <c r="Z71" s="1"/>
      <c r="AA71" s="1"/>
      <c r="AB71" s="1"/>
    </row>
    <row r="72" spans="2:28" x14ac:dyDescent="0.3">
      <c r="B72" s="1"/>
      <c r="D72" s="1"/>
      <c r="E72" s="1"/>
      <c r="G72" s="1"/>
      <c r="H72" s="1"/>
      <c r="I72" s="1"/>
      <c r="J72" s="1"/>
      <c r="K72" s="1"/>
      <c r="L72" s="1"/>
      <c r="R72" s="1"/>
      <c r="T72" s="1"/>
      <c r="U72" s="1"/>
      <c r="W72" s="1"/>
      <c r="X72" s="1"/>
      <c r="Y72" s="1"/>
      <c r="Z72" s="1"/>
      <c r="AA72" s="1"/>
      <c r="AB72" s="1"/>
    </row>
    <row r="76" spans="2:28" x14ac:dyDescent="0.3">
      <c r="B76" s="1"/>
      <c r="D76" s="1"/>
      <c r="E76" s="1"/>
      <c r="G76" s="1"/>
      <c r="H76" s="1"/>
      <c r="I76" s="1"/>
      <c r="J76" s="1"/>
      <c r="K76" s="1"/>
      <c r="L76" s="1"/>
      <c r="R76" s="1"/>
      <c r="T76" s="1"/>
      <c r="U76" s="1"/>
      <c r="W76" s="1"/>
      <c r="X76" s="1"/>
      <c r="Y76" s="1"/>
      <c r="Z76" s="1"/>
      <c r="AA76" s="1"/>
      <c r="AB76" s="1"/>
    </row>
    <row r="78" spans="2:28" x14ac:dyDescent="0.3">
      <c r="B78" s="1"/>
      <c r="D78" s="1"/>
      <c r="E78" s="1"/>
      <c r="G78" s="1"/>
      <c r="H78" s="1"/>
      <c r="I78" s="1"/>
      <c r="J78" s="1"/>
      <c r="K78" s="1"/>
      <c r="L78" s="1"/>
      <c r="R78" s="1"/>
      <c r="T78" s="1"/>
      <c r="U78" s="1"/>
      <c r="W78" s="1"/>
      <c r="X78" s="1"/>
      <c r="Y78" s="1"/>
      <c r="Z78" s="1"/>
      <c r="AA78" s="1"/>
      <c r="AB78" s="1"/>
    </row>
    <row r="79" spans="2:28" x14ac:dyDescent="0.3">
      <c r="B79" s="1"/>
      <c r="D79" s="1"/>
      <c r="E79" s="1"/>
      <c r="G79" s="1"/>
      <c r="H79" s="1"/>
      <c r="I79" s="1"/>
      <c r="J79" s="1"/>
      <c r="K79" s="1"/>
      <c r="L79" s="1"/>
      <c r="R79" s="1"/>
      <c r="T79" s="1"/>
      <c r="U79" s="1"/>
      <c r="W79" s="1"/>
      <c r="X79" s="1"/>
      <c r="Y79" s="1"/>
      <c r="Z79" s="1"/>
      <c r="AA79" s="1"/>
      <c r="AB79" s="1"/>
    </row>
    <row r="83" spans="2:28" x14ac:dyDescent="0.3">
      <c r="R83" s="1"/>
      <c r="T83" s="1"/>
      <c r="U83" s="1"/>
      <c r="W83" s="1"/>
      <c r="X83" s="1"/>
      <c r="Y83" s="1"/>
      <c r="Z83" s="1"/>
      <c r="AA83" s="1"/>
      <c r="AB83" s="1"/>
    </row>
    <row r="85" spans="2:28" x14ac:dyDescent="0.3">
      <c r="B85" s="1"/>
      <c r="D85" s="1"/>
      <c r="E85" s="1"/>
      <c r="G85" s="1"/>
      <c r="H85" s="1"/>
      <c r="I85" s="1"/>
      <c r="J85" s="1"/>
      <c r="K85" s="1"/>
      <c r="L85" s="1"/>
      <c r="R85" s="1"/>
      <c r="T85" s="1"/>
      <c r="U85" s="1"/>
      <c r="W85" s="1"/>
      <c r="X85" s="1"/>
      <c r="Y85" s="1"/>
      <c r="Z85" s="1"/>
      <c r="AA85" s="1"/>
      <c r="AB85" s="1"/>
    </row>
    <row r="86" spans="2:28" x14ac:dyDescent="0.3">
      <c r="R86" s="1"/>
      <c r="T86" s="1"/>
      <c r="U86" s="1"/>
      <c r="W86" s="1"/>
      <c r="X86" s="1"/>
      <c r="Y86" s="1"/>
      <c r="Z86" s="1"/>
      <c r="AA86" s="1"/>
      <c r="AB86" s="1"/>
    </row>
    <row r="88" spans="2:28" x14ac:dyDescent="0.3">
      <c r="B88" s="1"/>
      <c r="D88" s="1"/>
      <c r="E88" s="1"/>
      <c r="G88" s="1"/>
      <c r="H88" s="1"/>
      <c r="I88" s="1"/>
      <c r="J88" s="1"/>
      <c r="K88" s="1"/>
      <c r="L88" s="1"/>
    </row>
    <row r="89" spans="2:28" x14ac:dyDescent="0.3">
      <c r="B89" s="1"/>
      <c r="D89" s="1"/>
      <c r="E89" s="1"/>
      <c r="G89" s="1"/>
      <c r="H89" s="1"/>
      <c r="I89" s="1"/>
      <c r="J89" s="1"/>
      <c r="K89" s="1"/>
      <c r="L89" s="1"/>
    </row>
    <row r="92" spans="2:28" x14ac:dyDescent="0.3">
      <c r="B92" s="1"/>
      <c r="D92" s="1"/>
      <c r="E92" s="1"/>
      <c r="G92" s="1"/>
      <c r="H92" s="1"/>
      <c r="I92" s="1"/>
      <c r="J92" s="1"/>
      <c r="K92" s="1"/>
      <c r="L92" s="1"/>
    </row>
    <row r="93" spans="2:28" x14ac:dyDescent="0.3">
      <c r="R93" s="1"/>
      <c r="T93" s="1"/>
      <c r="U93" s="1"/>
      <c r="W93" s="1"/>
      <c r="X93" s="1"/>
      <c r="Y93" s="1"/>
      <c r="Z93" s="1"/>
      <c r="AA93" s="1"/>
      <c r="AB93" s="1"/>
    </row>
    <row r="95" spans="2:28" x14ac:dyDescent="0.3">
      <c r="B95" s="1"/>
      <c r="D95" s="1"/>
      <c r="E95" s="1"/>
      <c r="G95" s="1"/>
      <c r="H95" s="1"/>
      <c r="I95" s="1"/>
      <c r="J95" s="1"/>
      <c r="K95" s="1"/>
      <c r="L95" s="1"/>
      <c r="R95" s="1"/>
      <c r="T95" s="1"/>
      <c r="U95" s="1"/>
      <c r="W95" s="1"/>
      <c r="X95" s="1"/>
      <c r="Y95" s="1"/>
      <c r="Z95" s="1"/>
      <c r="AA95" s="1"/>
      <c r="AB95" s="1"/>
    </row>
    <row r="96" spans="2:28" x14ac:dyDescent="0.3">
      <c r="B96" s="1"/>
      <c r="D96" s="1"/>
      <c r="E96" s="1"/>
      <c r="G96" s="1"/>
      <c r="H96" s="1"/>
      <c r="I96" s="1"/>
      <c r="J96" s="1"/>
      <c r="K96" s="1"/>
      <c r="L96" s="1"/>
    </row>
    <row r="99" spans="2:28" x14ac:dyDescent="0.3">
      <c r="B99" s="1"/>
      <c r="D99" s="1"/>
      <c r="E99" s="1"/>
      <c r="G99" s="1"/>
      <c r="H99" s="1"/>
      <c r="I99" s="1"/>
      <c r="J99" s="1"/>
      <c r="K99" s="1"/>
      <c r="L99" s="1"/>
    </row>
    <row r="100" spans="2:28" x14ac:dyDescent="0.3">
      <c r="R100" s="1"/>
      <c r="T100" s="1"/>
      <c r="U100" s="1"/>
      <c r="W100" s="1"/>
      <c r="X100" s="1"/>
      <c r="Y100" s="1"/>
      <c r="Z100" s="1"/>
      <c r="AA100" s="1"/>
      <c r="AB100" s="1"/>
    </row>
    <row r="102" spans="2:28" x14ac:dyDescent="0.3">
      <c r="B102" s="1"/>
      <c r="D102" s="1"/>
      <c r="E102" s="1"/>
      <c r="G102" s="1"/>
      <c r="H102" s="1"/>
      <c r="I102" s="1"/>
      <c r="J102" s="1"/>
      <c r="K102" s="1"/>
      <c r="L102" s="1"/>
      <c r="R102" s="1"/>
      <c r="T102" s="1"/>
      <c r="U102" s="1"/>
      <c r="W102" s="1"/>
      <c r="X102" s="1"/>
      <c r="Y102" s="1"/>
      <c r="Z102" s="1"/>
      <c r="AA102" s="1"/>
      <c r="AB102" s="1"/>
    </row>
    <row r="103" spans="2:28" x14ac:dyDescent="0.3">
      <c r="B103" s="1"/>
      <c r="D103" s="1"/>
      <c r="E103" s="1"/>
      <c r="G103" s="1"/>
      <c r="H103" s="1"/>
      <c r="I103" s="1"/>
      <c r="J103" s="1"/>
      <c r="K103" s="1"/>
      <c r="L103" s="1"/>
    </row>
    <row r="106" spans="2:28" x14ac:dyDescent="0.3">
      <c r="B106" s="1"/>
      <c r="D106" s="1"/>
      <c r="E106" s="1"/>
      <c r="G106" s="1"/>
      <c r="H106" s="1"/>
      <c r="I106" s="1"/>
      <c r="J106" s="1"/>
      <c r="K106" s="1"/>
      <c r="L106" s="1"/>
    </row>
    <row r="107" spans="2:28" x14ac:dyDescent="0.3">
      <c r="R107" s="1"/>
      <c r="T107" s="1"/>
      <c r="U107" s="1"/>
      <c r="W107" s="1"/>
      <c r="X107" s="1"/>
      <c r="Y107" s="1"/>
      <c r="Z107" s="1"/>
      <c r="AA107" s="1"/>
      <c r="AB107" s="1"/>
    </row>
    <row r="109" spans="2:28" x14ac:dyDescent="0.3">
      <c r="B109" s="1"/>
      <c r="D109" s="1"/>
      <c r="E109" s="1"/>
      <c r="G109" s="1"/>
      <c r="H109" s="1"/>
      <c r="I109" s="1"/>
      <c r="J109" s="1"/>
      <c r="K109" s="1"/>
      <c r="L109" s="1"/>
    </row>
    <row r="113" spans="2:28" x14ac:dyDescent="0.3">
      <c r="B113" s="1"/>
      <c r="D113" s="1"/>
      <c r="E113" s="1"/>
      <c r="G113" s="1"/>
      <c r="H113" s="1"/>
      <c r="I113" s="1"/>
      <c r="J113" s="1"/>
      <c r="K113" s="1"/>
      <c r="L113" s="1"/>
    </row>
    <row r="114" spans="2:28" x14ac:dyDescent="0.3">
      <c r="R114" s="1"/>
      <c r="T114" s="1"/>
      <c r="U114" s="1"/>
      <c r="W114" s="1"/>
      <c r="X114" s="1"/>
      <c r="Y114" s="1"/>
      <c r="Z114" s="1"/>
      <c r="AA114" s="1"/>
      <c r="AB114" s="1"/>
    </row>
    <row r="115" spans="2:28" x14ac:dyDescent="0.3">
      <c r="R115" s="1"/>
      <c r="T115" s="1"/>
      <c r="U115" s="1"/>
      <c r="W115" s="1"/>
      <c r="X115" s="1"/>
      <c r="Y115" s="1"/>
      <c r="Z115" s="1"/>
      <c r="AA115" s="1"/>
      <c r="AB115" s="1"/>
    </row>
    <row r="116" spans="2:28" x14ac:dyDescent="0.3">
      <c r="B116" s="1"/>
      <c r="D116" s="1"/>
      <c r="E116" s="1"/>
      <c r="G116" s="1"/>
      <c r="H116" s="1"/>
      <c r="I116" s="1"/>
      <c r="J116" s="1"/>
      <c r="K116" s="1"/>
      <c r="L116" s="1"/>
    </row>
    <row r="120" spans="2:28" x14ac:dyDescent="0.3">
      <c r="B120" s="1"/>
      <c r="D120" s="1"/>
      <c r="E120" s="1"/>
      <c r="G120" s="1"/>
      <c r="H120" s="1"/>
      <c r="I120" s="1"/>
      <c r="J120" s="1"/>
      <c r="K120" s="1"/>
      <c r="L120" s="1"/>
    </row>
    <row r="121" spans="2:28" x14ac:dyDescent="0.3">
      <c r="R121" s="1"/>
      <c r="T121" s="1"/>
      <c r="U121" s="1"/>
      <c r="W121" s="1"/>
      <c r="X121" s="1"/>
      <c r="Y121" s="1"/>
      <c r="Z121" s="1"/>
      <c r="AA121" s="1"/>
      <c r="AB121" s="1"/>
    </row>
    <row r="122" spans="2:28" x14ac:dyDescent="0.3">
      <c r="R122" s="1"/>
      <c r="T122" s="1"/>
      <c r="U122" s="1"/>
      <c r="W122" s="1"/>
      <c r="X122" s="1"/>
      <c r="Y122" s="1"/>
      <c r="Z122" s="1"/>
      <c r="AA122" s="1"/>
      <c r="AB122" s="1"/>
    </row>
    <row r="123" spans="2:28" x14ac:dyDescent="0.3">
      <c r="B123" s="1"/>
      <c r="D123" s="1"/>
      <c r="E123" s="1"/>
      <c r="G123" s="1"/>
      <c r="H123" s="1"/>
      <c r="I123" s="1"/>
      <c r="J123" s="1"/>
      <c r="K123" s="1"/>
      <c r="L123" s="1"/>
    </row>
    <row r="127" spans="2:28" x14ac:dyDescent="0.3">
      <c r="B127" s="1"/>
      <c r="D127" s="1"/>
      <c r="E127" s="1"/>
      <c r="G127" s="1"/>
      <c r="H127" s="1"/>
      <c r="I127" s="1"/>
      <c r="J127" s="1"/>
      <c r="K127" s="1"/>
      <c r="L127" s="1"/>
    </row>
    <row r="128" spans="2:28" x14ac:dyDescent="0.3">
      <c r="R128" s="1"/>
      <c r="T128" s="1"/>
      <c r="U128" s="1"/>
      <c r="W128" s="1"/>
      <c r="X128" s="1"/>
      <c r="Y128" s="1"/>
      <c r="Z128" s="1"/>
      <c r="AA128" s="1"/>
      <c r="AB128" s="1"/>
    </row>
    <row r="129" spans="2:28" x14ac:dyDescent="0.3">
      <c r="R129" s="1"/>
      <c r="T129" s="1"/>
      <c r="U129" s="1"/>
      <c r="W129" s="1"/>
      <c r="X129" s="1"/>
      <c r="Y129" s="1"/>
      <c r="Z129" s="1"/>
      <c r="AA129" s="1"/>
      <c r="AB129" s="1"/>
    </row>
    <row r="130" spans="2:28" x14ac:dyDescent="0.3">
      <c r="B130" s="1"/>
      <c r="D130" s="1"/>
      <c r="E130" s="1"/>
      <c r="G130" s="1"/>
      <c r="H130" s="1"/>
      <c r="I130" s="1"/>
      <c r="J130" s="1"/>
      <c r="K130" s="1"/>
      <c r="L130" s="1"/>
    </row>
    <row r="135" spans="2:28" x14ac:dyDescent="0.3">
      <c r="R135" s="1"/>
      <c r="T135" s="1"/>
      <c r="U135" s="1"/>
      <c r="W135" s="1"/>
      <c r="X135" s="1"/>
      <c r="Y135" s="1"/>
      <c r="Z135" s="1"/>
      <c r="AA135" s="1"/>
      <c r="AB135" s="1"/>
    </row>
    <row r="136" spans="2:28" x14ac:dyDescent="0.3">
      <c r="R136" s="1"/>
      <c r="T136" s="1"/>
      <c r="U136" s="1"/>
      <c r="W136" s="1"/>
      <c r="X136" s="1"/>
      <c r="Y136" s="1"/>
      <c r="Z136" s="1"/>
      <c r="AA136" s="1"/>
      <c r="AB136" s="1"/>
    </row>
    <row r="137" spans="2:28" x14ac:dyDescent="0.3">
      <c r="B137" s="1"/>
      <c r="D137" s="1"/>
      <c r="E137" s="1"/>
      <c r="G137" s="1"/>
      <c r="H137" s="1"/>
      <c r="I137" s="1"/>
      <c r="J137" s="1"/>
      <c r="K137" s="1"/>
      <c r="L137" s="1"/>
    </row>
    <row r="142" spans="2:28" x14ac:dyDescent="0.3">
      <c r="R142" s="1"/>
      <c r="T142" s="1"/>
      <c r="U142" s="1"/>
      <c r="W142" s="1"/>
      <c r="X142" s="1"/>
      <c r="Y142" s="1"/>
      <c r="Z142" s="1"/>
      <c r="AA142" s="1"/>
      <c r="AB142" s="1"/>
    </row>
    <row r="143" spans="2:28" x14ac:dyDescent="0.3">
      <c r="R143" s="1"/>
      <c r="T143" s="1"/>
      <c r="U143" s="1"/>
      <c r="W143" s="1"/>
      <c r="X143" s="1"/>
      <c r="Y143" s="1"/>
      <c r="Z143" s="1"/>
      <c r="AA143" s="1"/>
      <c r="AB143" s="1"/>
    </row>
    <row r="144" spans="2:28" x14ac:dyDescent="0.3">
      <c r="B144" s="1"/>
      <c r="D144" s="1"/>
      <c r="E144" s="1"/>
      <c r="G144" s="1"/>
      <c r="H144" s="1"/>
      <c r="I144" s="1"/>
      <c r="J144" s="1"/>
      <c r="K144" s="1"/>
      <c r="L144" s="1"/>
    </row>
    <row r="150" spans="2:28" x14ac:dyDescent="0.3">
      <c r="R150" s="1"/>
      <c r="T150" s="1"/>
      <c r="U150" s="1"/>
      <c r="W150" s="1"/>
      <c r="X150" s="1"/>
      <c r="Y150" s="1"/>
      <c r="Z150" s="1"/>
      <c r="AA150" s="1"/>
      <c r="AB150" s="1"/>
    </row>
    <row r="151" spans="2:28" x14ac:dyDescent="0.3">
      <c r="B151" s="1"/>
      <c r="D151" s="1"/>
      <c r="E151" s="1"/>
      <c r="G151" s="1"/>
      <c r="H151" s="1"/>
      <c r="I151" s="1"/>
      <c r="J151" s="1"/>
      <c r="K151" s="1"/>
      <c r="L151" s="1"/>
    </row>
    <row r="152" spans="2:28" x14ac:dyDescent="0.3">
      <c r="R152" s="1"/>
      <c r="T152" s="1"/>
      <c r="U152" s="1"/>
      <c r="W152" s="1"/>
      <c r="X152" s="1"/>
      <c r="Y152" s="1"/>
      <c r="Z152" s="1"/>
      <c r="AA152" s="1"/>
      <c r="AB152" s="1"/>
    </row>
    <row r="154" spans="2:28" x14ac:dyDescent="0.3">
      <c r="B154" s="1"/>
      <c r="D154" s="1"/>
      <c r="E154" s="1"/>
      <c r="G154" s="1"/>
      <c r="H154" s="1"/>
      <c r="I154" s="1"/>
      <c r="J154" s="1"/>
      <c r="K154" s="1"/>
      <c r="L154" s="1"/>
    </row>
    <row r="157" spans="2:28" x14ac:dyDescent="0.3">
      <c r="R157" s="1"/>
      <c r="T157" s="1"/>
      <c r="U157" s="1"/>
      <c r="W157" s="1"/>
      <c r="X157" s="1"/>
      <c r="Y157" s="1"/>
      <c r="Z157" s="1"/>
      <c r="AA157" s="1"/>
      <c r="AB157" s="1"/>
    </row>
    <row r="158" spans="2:28" x14ac:dyDescent="0.3">
      <c r="B158" s="1"/>
      <c r="D158" s="1"/>
      <c r="E158" s="1"/>
      <c r="G158" s="1"/>
      <c r="H158" s="1"/>
      <c r="I158" s="1"/>
      <c r="J158" s="1"/>
      <c r="K158" s="1"/>
      <c r="L158" s="1"/>
    </row>
    <row r="159" spans="2:28" x14ac:dyDescent="0.3">
      <c r="R159" s="1"/>
      <c r="T159" s="1"/>
      <c r="U159" s="1"/>
      <c r="W159" s="1"/>
      <c r="X159" s="1"/>
      <c r="Y159" s="1"/>
      <c r="Z159" s="1"/>
      <c r="AA159" s="1"/>
      <c r="AB159" s="1"/>
    </row>
    <row r="161" spans="2:28" x14ac:dyDescent="0.3">
      <c r="B161" s="1"/>
      <c r="D161" s="1"/>
      <c r="E161" s="1"/>
      <c r="G161" s="1"/>
      <c r="H161" s="1"/>
      <c r="I161" s="1"/>
      <c r="J161" s="1"/>
      <c r="K161" s="1"/>
      <c r="L161" s="1"/>
    </row>
    <row r="164" spans="2:28" x14ac:dyDescent="0.3">
      <c r="R164" s="1"/>
      <c r="T164" s="1"/>
      <c r="U164" s="1"/>
      <c r="W164" s="1"/>
      <c r="X164" s="1"/>
      <c r="Y164" s="1"/>
      <c r="Z164" s="1"/>
      <c r="AA164" s="1"/>
      <c r="AB164" s="1"/>
    </row>
    <row r="165" spans="2:28" x14ac:dyDescent="0.3">
      <c r="B165" s="1"/>
      <c r="D165" s="1"/>
      <c r="E165" s="1"/>
      <c r="G165" s="1"/>
      <c r="H165" s="1"/>
      <c r="I165" s="1"/>
      <c r="J165" s="1"/>
      <c r="K165" s="1"/>
      <c r="L165" s="1"/>
    </row>
    <row r="166" spans="2:28" x14ac:dyDescent="0.3">
      <c r="R166" s="1"/>
      <c r="T166" s="1"/>
      <c r="U166" s="1"/>
      <c r="W166" s="1"/>
      <c r="X166" s="1"/>
      <c r="Y166" s="1"/>
      <c r="Z166" s="1"/>
      <c r="AA166" s="1"/>
      <c r="AB166" s="1"/>
    </row>
    <row r="168" spans="2:28" x14ac:dyDescent="0.3">
      <c r="B168" s="1"/>
      <c r="D168" s="1"/>
      <c r="E168" s="1"/>
      <c r="G168" s="1"/>
      <c r="H168" s="1"/>
      <c r="I168" s="1"/>
      <c r="J168" s="1"/>
      <c r="K168" s="1"/>
      <c r="L168" s="1"/>
    </row>
    <row r="172" spans="2:28" x14ac:dyDescent="0.3">
      <c r="B172" s="1"/>
      <c r="D172" s="1"/>
      <c r="E172" s="1"/>
      <c r="G172" s="1"/>
      <c r="H172" s="1"/>
      <c r="I172" s="1"/>
      <c r="J172" s="1"/>
      <c r="K172" s="1"/>
      <c r="L172" s="1"/>
    </row>
    <row r="173" spans="2:28" x14ac:dyDescent="0.3">
      <c r="R173" s="1"/>
      <c r="T173" s="1"/>
      <c r="U173" s="1"/>
      <c r="W173" s="1"/>
      <c r="X173" s="1"/>
      <c r="Y173" s="1"/>
      <c r="Z173" s="1"/>
      <c r="AA173" s="1"/>
      <c r="AB173" s="1"/>
    </row>
    <row r="174" spans="2:28" x14ac:dyDescent="0.3">
      <c r="R174" s="1"/>
      <c r="T174" s="1"/>
      <c r="U174" s="1"/>
      <c r="W174" s="1"/>
      <c r="X174" s="1"/>
      <c r="Y174" s="1"/>
      <c r="Z174" s="1"/>
      <c r="AA174" s="1"/>
      <c r="AB174" s="1"/>
    </row>
    <row r="175" spans="2:28" x14ac:dyDescent="0.3">
      <c r="B175" s="1"/>
      <c r="D175" s="1"/>
      <c r="E175" s="1"/>
      <c r="G175" s="1"/>
      <c r="H175" s="1"/>
      <c r="I175" s="1"/>
      <c r="J175" s="1"/>
      <c r="K175" s="1"/>
      <c r="L175" s="1"/>
    </row>
    <row r="179" spans="2:28" x14ac:dyDescent="0.3">
      <c r="B179" s="1"/>
      <c r="D179" s="1"/>
      <c r="E179" s="1"/>
      <c r="G179" s="1"/>
      <c r="H179" s="1"/>
      <c r="I179" s="1"/>
      <c r="J179" s="1"/>
      <c r="K179" s="1"/>
      <c r="L179" s="1"/>
    </row>
    <row r="181" spans="2:28" x14ac:dyDescent="0.3">
      <c r="R181" s="1"/>
      <c r="T181" s="1"/>
      <c r="U181" s="1"/>
      <c r="W181" s="1"/>
      <c r="X181" s="1"/>
      <c r="Y181" s="1"/>
      <c r="Z181" s="1"/>
      <c r="AA181" s="1"/>
      <c r="AB181" s="1"/>
    </row>
    <row r="185" spans="2:28" x14ac:dyDescent="0.3">
      <c r="B185" s="1"/>
      <c r="D185" s="1"/>
      <c r="E185" s="1"/>
      <c r="G185" s="1"/>
      <c r="H185" s="1"/>
      <c r="I185" s="1"/>
      <c r="J185" s="1"/>
      <c r="K185" s="1"/>
      <c r="L185" s="1"/>
    </row>
    <row r="188" spans="2:28" x14ac:dyDescent="0.3">
      <c r="R188" s="1"/>
      <c r="T188" s="1"/>
      <c r="U188" s="1"/>
      <c r="W188" s="1"/>
      <c r="X188" s="1"/>
      <c r="Y188" s="1"/>
      <c r="Z188" s="1"/>
      <c r="AA188" s="1"/>
      <c r="AB188" s="1"/>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Q188"/>
  <sheetViews>
    <sheetView topLeftCell="AH5" workbookViewId="0">
      <selection activeCell="AN25" sqref="AN25"/>
    </sheetView>
  </sheetViews>
  <sheetFormatPr defaultRowHeight="14.4" x14ac:dyDescent="0.3"/>
  <cols>
    <col min="1" max="1" width="17.77734375" bestFit="1" customWidth="1"/>
    <col min="3" max="3" width="20.21875" bestFit="1" customWidth="1"/>
    <col min="4" max="4" width="18.6640625" bestFit="1" customWidth="1"/>
    <col min="5" max="5" width="16.5546875" bestFit="1" customWidth="1"/>
    <col min="6" max="6" width="20" bestFit="1" customWidth="1"/>
    <col min="7" max="7" width="22.44140625" bestFit="1" customWidth="1"/>
    <col min="8" max="8" width="16.5546875" bestFit="1" customWidth="1"/>
    <col min="9" max="9" width="31.77734375" bestFit="1" customWidth="1"/>
    <col min="10" max="10" width="16.5546875" bestFit="1" customWidth="1"/>
    <col min="11" max="11" width="26.5546875" bestFit="1" customWidth="1"/>
    <col min="12" max="12" width="16.5546875" bestFit="1" customWidth="1"/>
    <col min="19" max="19" width="20.21875" bestFit="1" customWidth="1"/>
    <col min="20" max="20" width="18.6640625" bestFit="1" customWidth="1"/>
    <col min="21" max="21" width="16.5546875" bestFit="1" customWidth="1"/>
    <col min="22" max="22" width="20" bestFit="1" customWidth="1"/>
    <col min="23" max="23" width="22.44140625" bestFit="1" customWidth="1"/>
    <col min="24" max="24" width="16.5546875" bestFit="1" customWidth="1"/>
    <col min="25" max="25" width="31.77734375" bestFit="1" customWidth="1"/>
    <col min="26" max="26" width="16.5546875" bestFit="1" customWidth="1"/>
    <col min="27" max="27" width="26.5546875" bestFit="1" customWidth="1"/>
    <col min="28" max="28" width="16.5546875" bestFit="1" customWidth="1"/>
    <col min="31" max="31" width="31.21875" bestFit="1" customWidth="1"/>
    <col min="32" max="32" width="20.21875" bestFit="1" customWidth="1"/>
    <col min="33" max="33" width="18.6640625" bestFit="1" customWidth="1"/>
    <col min="34" max="34" width="16.5546875" bestFit="1" customWidth="1"/>
    <col min="35" max="35" width="20" bestFit="1" customWidth="1"/>
    <col min="36" max="36" width="23.44140625" bestFit="1" customWidth="1"/>
    <col min="37" max="37" width="20.6640625" bestFit="1" customWidth="1"/>
    <col min="38" max="38" width="14.6640625" bestFit="1" customWidth="1"/>
    <col min="39" max="39" width="18.6640625" bestFit="1" customWidth="1"/>
    <col min="40" max="40" width="11.5546875" bestFit="1" customWidth="1"/>
    <col min="41" max="41" width="26.5546875" bestFit="1" customWidth="1"/>
    <col min="42" max="42" width="16.5546875" bestFit="1" customWidth="1"/>
    <col min="43" max="43" width="25.5546875" bestFit="1" customWidth="1"/>
  </cols>
  <sheetData>
    <row r="4" spans="2:43" ht="25.8" x14ac:dyDescent="0.5">
      <c r="B4" s="4" t="s">
        <v>11</v>
      </c>
      <c r="R4" s="4" t="s">
        <v>12</v>
      </c>
      <c r="AE4" s="3" t="s">
        <v>13</v>
      </c>
    </row>
    <row r="7" spans="2:43" ht="18" x14ac:dyDescent="0.35">
      <c r="B7" t="s">
        <v>1</v>
      </c>
      <c r="C7" t="s">
        <v>2</v>
      </c>
      <c r="D7" t="s">
        <v>3</v>
      </c>
      <c r="E7" t="s">
        <v>4</v>
      </c>
      <c r="F7" t="s">
        <v>5</v>
      </c>
      <c r="G7" t="s">
        <v>6</v>
      </c>
      <c r="H7" t="s">
        <v>14</v>
      </c>
      <c r="I7" t="s">
        <v>7</v>
      </c>
      <c r="J7" t="s">
        <v>4</v>
      </c>
      <c r="K7" t="s">
        <v>8</v>
      </c>
      <c r="L7" t="s">
        <v>4</v>
      </c>
      <c r="R7" t="s">
        <v>1</v>
      </c>
      <c r="S7" t="s">
        <v>2</v>
      </c>
      <c r="T7" t="s">
        <v>3</v>
      </c>
      <c r="U7" t="s">
        <v>4</v>
      </c>
      <c r="V7" t="s">
        <v>5</v>
      </c>
      <c r="W7" t="s">
        <v>6</v>
      </c>
      <c r="X7" t="s">
        <v>14</v>
      </c>
      <c r="Y7" t="s">
        <v>7</v>
      </c>
      <c r="Z7" t="s">
        <v>4</v>
      </c>
      <c r="AA7" t="s">
        <v>8</v>
      </c>
      <c r="AB7" t="s">
        <v>4</v>
      </c>
      <c r="AE7" t="s">
        <v>1</v>
      </c>
      <c r="AF7" t="s">
        <v>2</v>
      </c>
      <c r="AG7" t="s">
        <v>3</v>
      </c>
      <c r="AH7" t="s">
        <v>4</v>
      </c>
      <c r="AI7" t="s">
        <v>5</v>
      </c>
      <c r="AJ7" s="6" t="s">
        <v>6</v>
      </c>
      <c r="AK7" s="6" t="s">
        <v>15</v>
      </c>
      <c r="AL7" s="2" t="s">
        <v>16</v>
      </c>
      <c r="AM7" s="2" t="s">
        <v>58</v>
      </c>
      <c r="AN7" s="2" t="s">
        <v>17</v>
      </c>
      <c r="AO7" t="s">
        <v>8</v>
      </c>
      <c r="AP7" t="s">
        <v>4</v>
      </c>
      <c r="AQ7" s="18" t="s">
        <v>125</v>
      </c>
    </row>
    <row r="8" spans="2:43" ht="18" x14ac:dyDescent="0.35">
      <c r="B8" s="1"/>
      <c r="D8" s="1"/>
      <c r="E8" s="1"/>
      <c r="G8" s="1"/>
      <c r="H8" s="1"/>
      <c r="I8" s="1"/>
      <c r="J8" s="1"/>
      <c r="K8" s="1"/>
      <c r="L8" s="1"/>
      <c r="R8" s="1"/>
      <c r="T8" s="1"/>
      <c r="U8" s="1"/>
      <c r="W8" s="1"/>
      <c r="X8" s="1"/>
      <c r="Y8" s="1"/>
      <c r="Z8" s="1"/>
      <c r="AA8" s="1"/>
      <c r="AB8" s="1"/>
      <c r="AE8" s="1"/>
      <c r="AG8" s="1"/>
      <c r="AH8" s="1"/>
      <c r="AI8" s="5"/>
      <c r="AJ8" s="7"/>
      <c r="AK8" s="7"/>
      <c r="AL8" s="8"/>
      <c r="AM8" s="8"/>
      <c r="AN8" s="8"/>
      <c r="AO8" s="1"/>
      <c r="AP8" s="1"/>
      <c r="AQ8" s="12"/>
    </row>
    <row r="9" spans="2:43" ht="18" x14ac:dyDescent="0.35">
      <c r="B9" s="1"/>
      <c r="D9" s="1"/>
      <c r="E9" s="1"/>
      <c r="G9" s="1"/>
      <c r="H9" s="1"/>
      <c r="I9" s="1"/>
      <c r="J9" s="1"/>
      <c r="K9" s="1"/>
      <c r="L9" s="1"/>
      <c r="R9" s="1"/>
      <c r="T9" s="1"/>
      <c r="U9" s="1"/>
      <c r="W9" s="1"/>
      <c r="X9" s="1"/>
      <c r="Y9" s="1"/>
      <c r="Z9" s="1"/>
      <c r="AA9" s="1"/>
      <c r="AB9" s="1"/>
      <c r="AE9" s="1"/>
      <c r="AG9" s="1"/>
      <c r="AH9" s="1"/>
      <c r="AI9" s="5"/>
      <c r="AJ9" s="7"/>
      <c r="AK9" s="7"/>
      <c r="AL9" s="8"/>
      <c r="AM9" s="8"/>
      <c r="AN9" s="8"/>
      <c r="AO9" s="1"/>
      <c r="AP9" s="1"/>
      <c r="AQ9" s="12"/>
    </row>
    <row r="10" spans="2:43" ht="18" x14ac:dyDescent="0.35">
      <c r="B10" s="1">
        <f>B22</f>
        <v>1.4999999999999999E-2</v>
      </c>
      <c r="C10">
        <f>C22+C29+C36+C43+C50+C57+C64+C71</f>
        <v>8000</v>
      </c>
      <c r="D10" s="1">
        <f>SUM(D22+D29+D36+D43+D50+D57+D64+D71)/8</f>
        <v>1.5235006250000001E-13</v>
      </c>
      <c r="E10" s="1">
        <f>SUM(E22+E29+E36+E43+E50+E57+E64+E71)/8</f>
        <v>2.0899127499999999E-12</v>
      </c>
      <c r="F10">
        <f>F22+F29+F36+F43+F50+F57+F64+F71</f>
        <v>89</v>
      </c>
      <c r="G10" s="1">
        <f>F10/C10</f>
        <v>1.1124999999999999E-2</v>
      </c>
      <c r="H10" s="1">
        <f>SQRT(F10)</f>
        <v>9.4339811320566032</v>
      </c>
      <c r="I10" s="1">
        <f>SUM(I22+I29+I36+I43+I50+I57+I64+I71)/8</f>
        <v>1.9339375000000001E-3</v>
      </c>
      <c r="J10" s="1">
        <f>SUM(J22+J29+J36+J43+J50+J57+J64+J71)/8</f>
        <v>1.4395163750000002E-4</v>
      </c>
      <c r="K10" s="1">
        <f>SUM(K22+K29+K36+K43+K50+K57+K64+K71)/8</f>
        <v>2.4248461249999995E-3</v>
      </c>
      <c r="L10" s="1">
        <f>SUM(L22+L29+L36+L43+L50+L57+L64+L71)/8</f>
        <v>4.2787207499999996E-4</v>
      </c>
      <c r="R10" s="1">
        <f>R22</f>
        <v>1.4999999999999999E-2</v>
      </c>
      <c r="S10">
        <f>S22+S29+S36+S43+S50+S57+S64+S71</f>
        <v>8000</v>
      </c>
      <c r="T10" s="1">
        <f>SUM(T22+T29+T36+T43+T50+T57+T64+T71)/8</f>
        <v>1.3291226249999998E-13</v>
      </c>
      <c r="U10" s="1">
        <f>SUM(U22+U29+U36+U43+U50+U57+U64+U71)/8</f>
        <v>1.6656266250000001E-12</v>
      </c>
      <c r="V10">
        <f>V22+V29+V36+V43+V50+V57+V64+V71</f>
        <v>100</v>
      </c>
      <c r="W10" s="1">
        <f>V10/S10</f>
        <v>1.2500000000000001E-2</v>
      </c>
      <c r="X10" s="1">
        <f>SQRT(V10)</f>
        <v>10</v>
      </c>
      <c r="Y10" s="1">
        <f>SUM(Y22+Y29+Y36+Y43+Y50+Y57+Y64+Y71)/8</f>
        <v>4.5111690000000006E-3</v>
      </c>
      <c r="Z10" s="1">
        <f>SUM(Z22+Z29+Z36+Z43+Z50+Z57+Z64+Z71)/8</f>
        <v>2.4513534999999996E-4</v>
      </c>
      <c r="AA10" s="1">
        <f>SUM(AA22+AA29+AA36+AA43+AA50+AA57+AA64+AA71)/8</f>
        <v>1.887016875E-3</v>
      </c>
      <c r="AB10" s="1">
        <f>SUM(AB22+AB29+AB36+AB43+AB50+AB57+AB64+AB71)/8</f>
        <v>3.3205215E-4</v>
      </c>
      <c r="AE10" s="1">
        <f>R10</f>
        <v>1.4999999999999999E-2</v>
      </c>
      <c r="AF10">
        <f>S10</f>
        <v>8000</v>
      </c>
      <c r="AG10" s="1">
        <f>T10-D10</f>
        <v>-1.9437800000000034E-14</v>
      </c>
      <c r="AH10" s="1">
        <f>(U10+E10)/2</f>
        <v>1.8777696874999998E-12</v>
      </c>
      <c r="AI10" s="5">
        <f>V10-F10</f>
        <v>11</v>
      </c>
      <c r="AJ10" s="7">
        <f>AI10/AF10</f>
        <v>1.3749999999999999E-3</v>
      </c>
      <c r="AK10" s="7">
        <f>SQRT((1/SQRT(AI10))^2+((SQRT(F10))/(AI10))^2)</f>
        <v>0.90909090909090906</v>
      </c>
      <c r="AL10" s="8">
        <f>AJ10</f>
        <v>1.3749999999999999E-3</v>
      </c>
      <c r="AM10" s="8">
        <f>AL10*2370000</f>
        <v>3258.75</v>
      </c>
      <c r="AN10" s="8">
        <f>AM10*AK10</f>
        <v>2962.5</v>
      </c>
      <c r="AO10" s="1">
        <f>(AA10+K10)/2</f>
        <v>2.1559314999999996E-3</v>
      </c>
      <c r="AP10" s="1">
        <f>(AB10+L10)/2</f>
        <v>3.7996211249999995E-4</v>
      </c>
      <c r="AQ10" s="12">
        <f>AO10*12.37/170*1000</f>
        <v>0.15687572149999995</v>
      </c>
    </row>
    <row r="11" spans="2:43" ht="18" x14ac:dyDescent="0.35">
      <c r="B11" s="1"/>
      <c r="D11" s="1"/>
      <c r="E11" s="1"/>
      <c r="G11" s="1"/>
      <c r="H11" s="1"/>
      <c r="I11" s="1"/>
      <c r="J11" s="1"/>
      <c r="K11" s="1"/>
      <c r="L11" s="1"/>
      <c r="R11" s="1"/>
      <c r="T11" s="1"/>
      <c r="U11" s="1"/>
      <c r="W11" s="1"/>
      <c r="X11" s="1"/>
      <c r="Y11" s="1"/>
      <c r="Z11" s="1"/>
      <c r="AA11" s="1"/>
      <c r="AB11" s="1"/>
      <c r="AE11" s="1"/>
      <c r="AG11" s="1"/>
      <c r="AH11" s="1"/>
      <c r="AI11" s="5"/>
      <c r="AJ11" s="7"/>
      <c r="AK11" s="7"/>
      <c r="AL11" s="8"/>
      <c r="AM11" s="8"/>
      <c r="AN11" s="8"/>
      <c r="AO11" s="1"/>
      <c r="AP11" s="1"/>
      <c r="AQ11" s="12"/>
    </row>
    <row r="12" spans="2:43" ht="18" x14ac:dyDescent="0.35">
      <c r="B12" s="1"/>
      <c r="D12" s="1"/>
      <c r="E12" s="1"/>
      <c r="G12" s="1"/>
      <c r="H12" s="1"/>
      <c r="I12" s="1"/>
      <c r="J12" s="1"/>
      <c r="K12" s="1"/>
      <c r="L12" s="1"/>
      <c r="R12" s="1"/>
      <c r="T12" s="1"/>
      <c r="U12" s="1"/>
      <c r="W12" s="1"/>
      <c r="X12" s="1"/>
      <c r="Y12" s="1"/>
      <c r="Z12" s="1"/>
      <c r="AA12" s="1"/>
      <c r="AB12" s="1"/>
      <c r="AE12" s="1"/>
      <c r="AG12" s="1"/>
      <c r="AH12" s="1"/>
      <c r="AI12" s="5"/>
      <c r="AJ12" s="7"/>
      <c r="AK12" s="7"/>
      <c r="AL12" s="8"/>
      <c r="AM12" s="8"/>
      <c r="AN12" s="8"/>
      <c r="AO12" s="1"/>
      <c r="AP12" s="1"/>
      <c r="AQ12" s="12"/>
    </row>
    <row r="13" spans="2:43" ht="18" x14ac:dyDescent="0.35">
      <c r="B13" s="1"/>
      <c r="D13" s="1"/>
      <c r="E13" s="1"/>
      <c r="G13" s="1"/>
      <c r="H13" s="1"/>
      <c r="I13" s="1"/>
      <c r="J13" s="1"/>
      <c r="K13" s="1"/>
      <c r="L13" s="1"/>
      <c r="R13" s="1"/>
      <c r="T13" s="1"/>
      <c r="U13" s="1"/>
      <c r="W13" s="1"/>
      <c r="X13" s="1"/>
      <c r="Y13" s="1"/>
      <c r="Z13" s="1"/>
      <c r="AA13" s="1"/>
      <c r="AB13" s="1"/>
      <c r="AE13" s="1"/>
      <c r="AG13" s="1"/>
      <c r="AH13" s="1"/>
      <c r="AI13" s="5"/>
      <c r="AJ13" s="7"/>
      <c r="AK13" s="7"/>
      <c r="AL13" s="8"/>
      <c r="AM13" s="8"/>
      <c r="AN13" s="8"/>
      <c r="AO13" s="1"/>
      <c r="AP13" s="1"/>
      <c r="AQ13" s="12"/>
    </row>
    <row r="14" spans="2:43" ht="23.4" x14ac:dyDescent="0.45">
      <c r="B14" s="46"/>
      <c r="D14" s="1"/>
      <c r="E14" s="1"/>
      <c r="G14" s="1"/>
      <c r="H14" s="1"/>
      <c r="I14" s="1"/>
      <c r="J14" s="1"/>
      <c r="K14" s="1"/>
      <c r="L14" s="1"/>
      <c r="R14" s="1"/>
      <c r="T14" s="1"/>
      <c r="U14" s="1"/>
      <c r="W14" s="1"/>
      <c r="X14" s="1"/>
      <c r="Y14" s="1"/>
      <c r="Z14" s="1"/>
      <c r="AA14" s="1"/>
      <c r="AB14" s="1"/>
      <c r="AE14" s="1"/>
      <c r="AG14" s="1"/>
      <c r="AH14" s="1"/>
      <c r="AI14" s="5"/>
      <c r="AJ14" s="7"/>
      <c r="AK14" s="7"/>
      <c r="AL14" s="45"/>
      <c r="AM14" s="8"/>
      <c r="AN14" s="8"/>
      <c r="AO14" s="1"/>
      <c r="AP14" s="1"/>
      <c r="AQ14" s="12"/>
    </row>
    <row r="15" spans="2:43" ht="18" x14ac:dyDescent="0.35">
      <c r="B15" s="1"/>
      <c r="D15" s="1"/>
      <c r="E15" s="1"/>
      <c r="G15" s="1"/>
      <c r="H15" s="1"/>
      <c r="I15" s="1"/>
      <c r="J15" s="1"/>
      <c r="K15" s="1"/>
      <c r="L15" s="1"/>
      <c r="R15" s="1"/>
      <c r="T15" s="1"/>
      <c r="U15" s="1"/>
      <c r="W15" s="1"/>
      <c r="X15" s="1"/>
      <c r="Y15" s="1"/>
      <c r="Z15" s="1"/>
      <c r="AA15" s="1"/>
      <c r="AB15" s="1"/>
      <c r="AE15" s="1"/>
      <c r="AG15" s="1"/>
      <c r="AH15" s="1"/>
      <c r="AI15" s="5"/>
      <c r="AJ15" s="7"/>
      <c r="AK15" s="7"/>
      <c r="AL15" s="8"/>
      <c r="AM15" s="8"/>
      <c r="AN15" s="8"/>
      <c r="AO15" s="1"/>
      <c r="AP15" s="1"/>
      <c r="AQ15" s="12"/>
    </row>
    <row r="16" spans="2:43" x14ac:dyDescent="0.3">
      <c r="B16" s="1" t="s">
        <v>0</v>
      </c>
      <c r="D16" s="1"/>
      <c r="E16" s="1"/>
      <c r="G16" s="1"/>
      <c r="H16" s="1"/>
      <c r="I16" s="1"/>
      <c r="J16" s="1"/>
      <c r="K16" s="1"/>
      <c r="L16" s="1"/>
      <c r="R16" s="1" t="s">
        <v>10</v>
      </c>
      <c r="T16" s="1"/>
      <c r="U16" s="1"/>
      <c r="W16" s="1"/>
      <c r="X16" s="1"/>
      <c r="Y16" s="1"/>
      <c r="Z16" s="1"/>
      <c r="AA16" s="1"/>
      <c r="AB16" s="1"/>
      <c r="AG16" s="1"/>
      <c r="AH16" s="1"/>
      <c r="AI16" s="5"/>
    </row>
    <row r="17" spans="2:28" x14ac:dyDescent="0.3">
      <c r="B17" t="s">
        <v>147</v>
      </c>
      <c r="R17" t="s">
        <v>147</v>
      </c>
    </row>
    <row r="18" spans="2:28" x14ac:dyDescent="0.3">
      <c r="D18" s="1"/>
      <c r="E18" s="1"/>
      <c r="T18" s="1"/>
      <c r="U18" s="1"/>
    </row>
    <row r="19" spans="2:28" x14ac:dyDescent="0.3">
      <c r="R19" s="1"/>
      <c r="T19" s="1"/>
      <c r="U19" s="1"/>
      <c r="W19" s="1"/>
      <c r="X19" s="1"/>
      <c r="Y19" s="1"/>
      <c r="Z19" s="1"/>
      <c r="AA19" s="1"/>
      <c r="AB19" s="1"/>
    </row>
    <row r="20" spans="2:28" x14ac:dyDescent="0.3">
      <c r="B20" s="1"/>
      <c r="C20">
        <v>0</v>
      </c>
      <c r="D20" s="1"/>
      <c r="E20" s="1"/>
      <c r="G20" s="1"/>
      <c r="H20" s="1"/>
      <c r="I20" s="1"/>
      <c r="J20" s="1"/>
      <c r="K20" s="1"/>
      <c r="L20" s="1"/>
      <c r="R20" s="1"/>
      <c r="S20">
        <v>0</v>
      </c>
      <c r="T20" s="1"/>
      <c r="U20" s="1"/>
      <c r="W20" s="1"/>
      <c r="X20" s="1"/>
      <c r="Y20" s="1"/>
      <c r="Z20" s="1"/>
      <c r="AA20" s="1"/>
      <c r="AB20" s="1"/>
    </row>
    <row r="21" spans="2:28" x14ac:dyDescent="0.3">
      <c r="B21" t="s">
        <v>1</v>
      </c>
      <c r="C21" t="s">
        <v>2</v>
      </c>
      <c r="D21" t="s">
        <v>3</v>
      </c>
      <c r="E21" t="s">
        <v>4</v>
      </c>
      <c r="F21" t="s">
        <v>5</v>
      </c>
      <c r="G21" t="s">
        <v>6</v>
      </c>
      <c r="H21" t="s">
        <v>4</v>
      </c>
      <c r="I21" t="s">
        <v>7</v>
      </c>
      <c r="J21" t="s">
        <v>4</v>
      </c>
      <c r="K21" t="s">
        <v>8</v>
      </c>
      <c r="L21" t="s">
        <v>4</v>
      </c>
      <c r="R21" t="s">
        <v>1</v>
      </c>
      <c r="S21" t="s">
        <v>2</v>
      </c>
      <c r="T21" t="s">
        <v>3</v>
      </c>
      <c r="U21" t="s">
        <v>4</v>
      </c>
      <c r="V21" t="s">
        <v>5</v>
      </c>
      <c r="W21" t="s">
        <v>6</v>
      </c>
      <c r="X21" t="s">
        <v>4</v>
      </c>
      <c r="Y21" t="s">
        <v>7</v>
      </c>
      <c r="Z21" t="s">
        <v>4</v>
      </c>
      <c r="AA21" t="s">
        <v>8</v>
      </c>
      <c r="AB21" t="s">
        <v>4</v>
      </c>
    </row>
    <row r="22" spans="2:28" x14ac:dyDescent="0.3">
      <c r="B22" s="1">
        <v>1.4999999999999999E-2</v>
      </c>
      <c r="C22">
        <v>1000</v>
      </c>
      <c r="D22" s="1">
        <v>3.6673759999999999E-13</v>
      </c>
      <c r="E22" s="1">
        <v>3.8509070000000001E-12</v>
      </c>
      <c r="F22">
        <v>15</v>
      </c>
      <c r="G22" s="1">
        <v>1.4999999999999999E-2</v>
      </c>
      <c r="H22" s="1">
        <v>0.12958310000000001</v>
      </c>
      <c r="I22" s="1">
        <v>1.6981170000000001E-3</v>
      </c>
      <c r="J22" s="1">
        <v>1.5807310000000001E-4</v>
      </c>
      <c r="K22" s="1">
        <v>3.9941680000000002E-3</v>
      </c>
      <c r="L22" s="1">
        <v>6.6416740000000004E-4</v>
      </c>
      <c r="R22" s="1">
        <v>1.4999999999999999E-2</v>
      </c>
      <c r="S22">
        <v>2000</v>
      </c>
      <c r="T22" s="1">
        <v>3.0599119999999998E-13</v>
      </c>
      <c r="U22" s="1">
        <v>3.7083250000000002E-12</v>
      </c>
      <c r="V22">
        <v>25</v>
      </c>
      <c r="W22" s="1">
        <v>1.2500000000000001E-2</v>
      </c>
      <c r="X22" s="1">
        <v>0.11554399999999999</v>
      </c>
      <c r="Y22" s="1">
        <v>9.4358240000000006E-3</v>
      </c>
      <c r="Z22" s="1">
        <v>4.8923599999999999E-4</v>
      </c>
      <c r="AA22" s="1">
        <v>3.7937190000000001E-3</v>
      </c>
      <c r="AB22" s="1">
        <v>6.3459509999999998E-4</v>
      </c>
    </row>
    <row r="24" spans="2:28" x14ac:dyDescent="0.3">
      <c r="B24" t="s">
        <v>9</v>
      </c>
      <c r="R24" t="s">
        <v>9</v>
      </c>
    </row>
    <row r="26" spans="2:28" x14ac:dyDescent="0.3">
      <c r="R26" s="1"/>
      <c r="T26" s="1"/>
      <c r="U26" s="1"/>
      <c r="W26" s="1"/>
      <c r="X26" s="1"/>
      <c r="Y26" s="1"/>
      <c r="Z26" s="1"/>
      <c r="AA26" s="1"/>
      <c r="AB26" s="1"/>
    </row>
    <row r="27" spans="2:28" x14ac:dyDescent="0.3">
      <c r="B27" s="1"/>
      <c r="C27">
        <v>0</v>
      </c>
      <c r="D27" s="1"/>
      <c r="E27" s="1"/>
      <c r="G27" s="1"/>
      <c r="H27" s="1"/>
      <c r="I27" s="1"/>
      <c r="J27" s="1"/>
      <c r="K27" s="1"/>
      <c r="L27" s="1"/>
      <c r="R27" s="1"/>
      <c r="S27">
        <v>0</v>
      </c>
      <c r="T27" s="1"/>
      <c r="U27" s="1"/>
      <c r="W27" s="1"/>
      <c r="X27" s="1"/>
      <c r="Y27" s="1"/>
      <c r="Z27" s="1"/>
      <c r="AA27" s="1"/>
      <c r="AB27" s="1"/>
    </row>
    <row r="28" spans="2:28" x14ac:dyDescent="0.3">
      <c r="B28" t="s">
        <v>1</v>
      </c>
      <c r="C28" t="s">
        <v>2</v>
      </c>
      <c r="D28" t="s">
        <v>3</v>
      </c>
      <c r="E28" t="s">
        <v>4</v>
      </c>
      <c r="F28" t="s">
        <v>5</v>
      </c>
      <c r="G28" t="s">
        <v>6</v>
      </c>
      <c r="H28" t="s">
        <v>4</v>
      </c>
      <c r="I28" t="s">
        <v>7</v>
      </c>
      <c r="J28" t="s">
        <v>4</v>
      </c>
      <c r="K28" t="s">
        <v>8</v>
      </c>
      <c r="L28" t="s">
        <v>4</v>
      </c>
      <c r="R28" t="s">
        <v>1</v>
      </c>
      <c r="S28" t="s">
        <v>2</v>
      </c>
      <c r="T28" t="s">
        <v>3</v>
      </c>
      <c r="U28" t="s">
        <v>4</v>
      </c>
      <c r="V28" t="s">
        <v>5</v>
      </c>
      <c r="W28" t="s">
        <v>6</v>
      </c>
      <c r="X28" t="s">
        <v>4</v>
      </c>
      <c r="Y28" t="s">
        <v>7</v>
      </c>
      <c r="Z28" t="s">
        <v>4</v>
      </c>
      <c r="AA28" t="s">
        <v>8</v>
      </c>
      <c r="AB28" t="s">
        <v>4</v>
      </c>
    </row>
    <row r="29" spans="2:28" x14ac:dyDescent="0.3">
      <c r="B29" s="1">
        <v>1.4999999999999999E-2</v>
      </c>
      <c r="C29">
        <v>2000</v>
      </c>
      <c r="D29" s="1">
        <v>2.4870450000000001E-13</v>
      </c>
      <c r="E29" s="1">
        <v>3.468337E-12</v>
      </c>
      <c r="F29">
        <v>26</v>
      </c>
      <c r="G29" s="1">
        <v>1.2999999999999999E-2</v>
      </c>
      <c r="H29" s="1">
        <v>0.12181309999999999</v>
      </c>
      <c r="I29" s="1">
        <v>1.695479E-3</v>
      </c>
      <c r="J29" s="1">
        <v>1.5567510000000001E-4</v>
      </c>
      <c r="K29" s="1">
        <v>4.1001529999999996E-3</v>
      </c>
      <c r="L29" s="1">
        <v>6.9630539999999996E-4</v>
      </c>
      <c r="R29" s="1">
        <v>1.4999999999999999E-2</v>
      </c>
      <c r="S29">
        <v>2000</v>
      </c>
      <c r="T29" s="1">
        <v>4.4630769999999998E-13</v>
      </c>
      <c r="U29" s="1">
        <v>3.9804000000000003E-12</v>
      </c>
      <c r="V29">
        <v>40</v>
      </c>
      <c r="W29" s="1">
        <v>0.02</v>
      </c>
      <c r="X29" s="1">
        <v>0.1568831</v>
      </c>
      <c r="Y29" s="1">
        <v>9.1688440000000006E-3</v>
      </c>
      <c r="Z29" s="1">
        <v>4.9338729999999996E-4</v>
      </c>
      <c r="AA29" s="1">
        <v>3.8480670000000002E-3</v>
      </c>
      <c r="AB29" s="1">
        <v>6.5385200000000001E-4</v>
      </c>
    </row>
    <row r="31" spans="2:28" x14ac:dyDescent="0.3">
      <c r="B31" t="s">
        <v>9</v>
      </c>
      <c r="R31" t="s">
        <v>9</v>
      </c>
    </row>
    <row r="33" spans="2:28" x14ac:dyDescent="0.3">
      <c r="R33" s="1"/>
      <c r="T33" s="1"/>
      <c r="U33" s="1"/>
      <c r="W33" s="1"/>
      <c r="X33" s="1"/>
      <c r="Y33" s="1"/>
      <c r="Z33" s="1"/>
      <c r="AA33" s="1"/>
      <c r="AB33" s="1"/>
    </row>
    <row r="34" spans="2:28" x14ac:dyDescent="0.3">
      <c r="B34" s="1"/>
      <c r="C34">
        <v>0</v>
      </c>
      <c r="D34" s="1"/>
      <c r="E34" s="1"/>
      <c r="G34" s="1"/>
      <c r="H34" s="1"/>
      <c r="I34" s="1"/>
      <c r="J34" s="1"/>
      <c r="K34" s="1"/>
      <c r="L34" s="1"/>
      <c r="R34" s="1"/>
      <c r="S34">
        <v>0</v>
      </c>
      <c r="T34" s="1"/>
      <c r="U34" s="1"/>
      <c r="W34" s="1"/>
      <c r="X34" s="1"/>
      <c r="Y34" s="1"/>
      <c r="Z34" s="1"/>
      <c r="AA34" s="1"/>
      <c r="AB34" s="1"/>
    </row>
    <row r="35" spans="2:28" x14ac:dyDescent="0.3">
      <c r="B35" t="s">
        <v>1</v>
      </c>
      <c r="C35" t="s">
        <v>2</v>
      </c>
      <c r="D35" t="s">
        <v>3</v>
      </c>
      <c r="E35" t="s">
        <v>4</v>
      </c>
      <c r="F35" t="s">
        <v>5</v>
      </c>
      <c r="G35" t="s">
        <v>6</v>
      </c>
      <c r="H35" t="s">
        <v>4</v>
      </c>
      <c r="I35" t="s">
        <v>7</v>
      </c>
      <c r="J35" t="s">
        <v>4</v>
      </c>
      <c r="K35" t="s">
        <v>8</v>
      </c>
      <c r="L35" t="s">
        <v>4</v>
      </c>
      <c r="R35" t="s">
        <v>1</v>
      </c>
      <c r="S35" t="s">
        <v>2</v>
      </c>
      <c r="T35" t="s">
        <v>3</v>
      </c>
      <c r="U35" t="s">
        <v>4</v>
      </c>
      <c r="V35" t="s">
        <v>5</v>
      </c>
      <c r="W35" t="s">
        <v>6</v>
      </c>
      <c r="X35" t="s">
        <v>4</v>
      </c>
      <c r="Y35" t="s">
        <v>7</v>
      </c>
      <c r="Z35" t="s">
        <v>4</v>
      </c>
      <c r="AA35" t="s">
        <v>8</v>
      </c>
      <c r="AB35" t="s">
        <v>4</v>
      </c>
    </row>
    <row r="36" spans="2:28" x14ac:dyDescent="0.3">
      <c r="B36" s="1">
        <v>1.4999999999999999E-2</v>
      </c>
      <c r="C36">
        <v>2000</v>
      </c>
      <c r="D36" s="1">
        <v>2.7361740000000001E-13</v>
      </c>
      <c r="E36" s="1">
        <v>3.3234140000000002E-12</v>
      </c>
      <c r="F36">
        <v>31</v>
      </c>
      <c r="G36" s="1">
        <v>1.55E-2</v>
      </c>
      <c r="H36" s="1">
        <v>0.1388142</v>
      </c>
      <c r="I36" s="1">
        <v>1.72394E-3</v>
      </c>
      <c r="J36" s="1">
        <v>1.7801469999999999E-4</v>
      </c>
      <c r="K36" s="1">
        <v>3.9757359999999997E-3</v>
      </c>
      <c r="L36" s="1">
        <v>6.9627519999999996E-4</v>
      </c>
      <c r="R36" s="1">
        <v>1.4999999999999999E-2</v>
      </c>
      <c r="S36">
        <v>2000</v>
      </c>
      <c r="T36" s="1">
        <v>1.9979019999999999E-13</v>
      </c>
      <c r="U36" s="1">
        <v>2.8755599999999999E-12</v>
      </c>
      <c r="V36">
        <v>15</v>
      </c>
      <c r="W36" s="1">
        <v>7.4999999999999997E-3</v>
      </c>
      <c r="X36" s="1">
        <v>8.6298749999999994E-2</v>
      </c>
      <c r="Y36" s="1">
        <v>8.8797890000000008E-3</v>
      </c>
      <c r="Z36" s="1">
        <v>4.8630489999999999E-4</v>
      </c>
      <c r="AA36" s="1">
        <v>3.654937E-3</v>
      </c>
      <c r="AB36" s="1">
        <v>6.6415029999999996E-4</v>
      </c>
    </row>
    <row r="37" spans="2:28" x14ac:dyDescent="0.3">
      <c r="B37" s="1"/>
      <c r="D37" s="1"/>
      <c r="E37" s="1"/>
      <c r="G37" s="1"/>
      <c r="H37" s="1"/>
      <c r="I37" s="1"/>
      <c r="J37" s="1"/>
      <c r="K37" s="1"/>
      <c r="L37" s="1"/>
      <c r="R37" s="1"/>
      <c r="T37" s="1"/>
      <c r="U37" s="1"/>
      <c r="W37" s="1"/>
      <c r="X37" s="1"/>
      <c r="Y37" s="1"/>
      <c r="Z37" s="1"/>
      <c r="AA37" s="1"/>
      <c r="AB37" s="1"/>
    </row>
    <row r="38" spans="2:28" x14ac:dyDescent="0.3">
      <c r="B38" t="s">
        <v>9</v>
      </c>
      <c r="R38" t="s">
        <v>9</v>
      </c>
    </row>
    <row r="39" spans="2:28" x14ac:dyDescent="0.3">
      <c r="R39" s="1"/>
      <c r="T39" s="1"/>
      <c r="U39" s="1"/>
      <c r="W39" s="1"/>
      <c r="X39" s="1"/>
      <c r="Y39" s="1"/>
      <c r="Z39" s="1"/>
      <c r="AA39" s="1"/>
      <c r="AB39" s="1"/>
    </row>
    <row r="41" spans="2:28" x14ac:dyDescent="0.3">
      <c r="B41" s="1"/>
      <c r="C41">
        <v>0</v>
      </c>
      <c r="D41" s="1"/>
      <c r="E41" s="1"/>
      <c r="G41" s="1"/>
      <c r="H41" s="1"/>
      <c r="I41" s="1"/>
      <c r="J41" s="1"/>
      <c r="K41" s="1"/>
      <c r="L41" s="1"/>
      <c r="R41" s="1"/>
      <c r="S41">
        <v>0</v>
      </c>
      <c r="T41" s="1"/>
      <c r="U41" s="1"/>
      <c r="W41" s="1"/>
      <c r="X41" s="1"/>
      <c r="Y41" s="1"/>
      <c r="Z41" s="1"/>
      <c r="AA41" s="1"/>
      <c r="AB41" s="1"/>
    </row>
    <row r="42" spans="2:28" x14ac:dyDescent="0.3">
      <c r="B42" t="s">
        <v>1</v>
      </c>
      <c r="C42" t="s">
        <v>2</v>
      </c>
      <c r="D42" t="s">
        <v>3</v>
      </c>
      <c r="E42" t="s">
        <v>4</v>
      </c>
      <c r="F42" t="s">
        <v>5</v>
      </c>
      <c r="G42" t="s">
        <v>6</v>
      </c>
      <c r="H42" t="s">
        <v>4</v>
      </c>
      <c r="I42" t="s">
        <v>7</v>
      </c>
      <c r="J42" t="s">
        <v>4</v>
      </c>
      <c r="K42" t="s">
        <v>8</v>
      </c>
      <c r="L42" t="s">
        <v>4</v>
      </c>
      <c r="R42" t="s">
        <v>1</v>
      </c>
      <c r="S42" t="s">
        <v>2</v>
      </c>
      <c r="T42" t="s">
        <v>3</v>
      </c>
      <c r="U42" t="s">
        <v>4</v>
      </c>
      <c r="V42" t="s">
        <v>5</v>
      </c>
      <c r="W42" t="s">
        <v>6</v>
      </c>
      <c r="X42" t="s">
        <v>4</v>
      </c>
      <c r="Y42" t="s">
        <v>7</v>
      </c>
      <c r="Z42" t="s">
        <v>4</v>
      </c>
      <c r="AA42" t="s">
        <v>8</v>
      </c>
      <c r="AB42" t="s">
        <v>4</v>
      </c>
    </row>
    <row r="43" spans="2:28" x14ac:dyDescent="0.3">
      <c r="B43" s="1">
        <v>1.4999999999999999E-2</v>
      </c>
      <c r="C43">
        <v>2000</v>
      </c>
      <c r="D43" s="1">
        <v>1.6850249999999999E-13</v>
      </c>
      <c r="E43" s="1">
        <v>3.1451409999999998E-12</v>
      </c>
      <c r="F43">
        <v>12</v>
      </c>
      <c r="G43" s="1">
        <v>6.0000000000000001E-3</v>
      </c>
      <c r="H43" s="1">
        <v>7.7246250000000002E-2</v>
      </c>
      <c r="I43" s="1">
        <v>1.7154710000000001E-3</v>
      </c>
      <c r="J43" s="1">
        <v>2.0176389999999999E-4</v>
      </c>
      <c r="K43" s="1">
        <v>3.8593159999999998E-3</v>
      </c>
      <c r="L43" s="1">
        <v>7.0842669999999998E-4</v>
      </c>
      <c r="R43" s="1">
        <v>1.4999999999999999E-2</v>
      </c>
      <c r="S43">
        <v>2000</v>
      </c>
      <c r="T43" s="1">
        <v>1.11209E-13</v>
      </c>
      <c r="U43" s="1">
        <v>2.7607280000000001E-12</v>
      </c>
      <c r="V43">
        <v>20</v>
      </c>
      <c r="W43" s="1">
        <v>0.01</v>
      </c>
      <c r="X43" s="1">
        <v>0.1136066</v>
      </c>
      <c r="Y43" s="1">
        <v>8.6048949999999996E-3</v>
      </c>
      <c r="Z43" s="1">
        <v>4.9215459999999995E-4</v>
      </c>
      <c r="AA43" s="1">
        <v>3.7994119999999998E-3</v>
      </c>
      <c r="AB43" s="1">
        <v>7.0381980000000001E-4</v>
      </c>
    </row>
    <row r="44" spans="2:28" x14ac:dyDescent="0.3">
      <c r="B44" s="1"/>
      <c r="D44" s="1"/>
      <c r="E44" s="1"/>
      <c r="G44" s="1"/>
      <c r="H44" s="1"/>
      <c r="I44" s="1"/>
      <c r="J44" s="1"/>
      <c r="K44" s="1"/>
      <c r="L44" s="1"/>
      <c r="R44" s="1"/>
      <c r="T44" s="1"/>
      <c r="U44" s="1"/>
      <c r="W44" s="1"/>
      <c r="X44" s="1"/>
      <c r="Y44" s="1"/>
      <c r="Z44" s="1"/>
      <c r="AA44" s="1"/>
      <c r="AB44" s="1"/>
    </row>
    <row r="45" spans="2:28" x14ac:dyDescent="0.3">
      <c r="B45" t="s">
        <v>9</v>
      </c>
    </row>
    <row r="46" spans="2:28" x14ac:dyDescent="0.3">
      <c r="R46" s="1"/>
      <c r="T46" s="1"/>
      <c r="U46" s="1"/>
      <c r="W46" s="1"/>
      <c r="X46" s="1"/>
      <c r="Y46" s="1"/>
      <c r="Z46" s="1"/>
      <c r="AA46" s="1"/>
      <c r="AB46" s="1"/>
    </row>
    <row r="48" spans="2:28" x14ac:dyDescent="0.3">
      <c r="B48" s="1"/>
      <c r="C48">
        <v>0</v>
      </c>
      <c r="D48" s="1"/>
      <c r="E48" s="1"/>
      <c r="G48" s="1"/>
      <c r="H48" s="1"/>
      <c r="I48" s="1"/>
      <c r="J48" s="1"/>
      <c r="K48" s="1"/>
      <c r="L48" s="1"/>
      <c r="R48" s="1"/>
      <c r="T48" s="1"/>
      <c r="U48" s="1"/>
      <c r="W48" s="1"/>
      <c r="X48" s="1"/>
      <c r="Y48" s="1"/>
      <c r="Z48" s="1"/>
      <c r="AA48" s="1"/>
      <c r="AB48" s="1"/>
    </row>
    <row r="49" spans="2:28" x14ac:dyDescent="0.3">
      <c r="B49" t="s">
        <v>1</v>
      </c>
      <c r="C49" t="s">
        <v>2</v>
      </c>
      <c r="D49" t="s">
        <v>3</v>
      </c>
      <c r="E49" t="s">
        <v>4</v>
      </c>
      <c r="F49" t="s">
        <v>5</v>
      </c>
      <c r="G49" t="s">
        <v>6</v>
      </c>
      <c r="H49" t="s">
        <v>4</v>
      </c>
      <c r="I49" t="s">
        <v>7</v>
      </c>
      <c r="J49" t="s">
        <v>4</v>
      </c>
      <c r="K49" t="s">
        <v>8</v>
      </c>
      <c r="L49" t="s">
        <v>4</v>
      </c>
    </row>
    <row r="50" spans="2:28" x14ac:dyDescent="0.3">
      <c r="B50" s="1">
        <v>1.4999999999999999E-2</v>
      </c>
      <c r="C50">
        <v>1000</v>
      </c>
      <c r="D50" s="1">
        <v>1.6123849999999999E-13</v>
      </c>
      <c r="E50" s="1">
        <v>2.9315029999999999E-12</v>
      </c>
      <c r="F50">
        <v>5</v>
      </c>
      <c r="G50" s="1">
        <v>5.0000000000000001E-3</v>
      </c>
      <c r="H50" s="1">
        <v>8.3558259999999995E-2</v>
      </c>
      <c r="I50" s="1">
        <v>8.6384930000000006E-3</v>
      </c>
      <c r="J50" s="1">
        <v>4.5808630000000001E-4</v>
      </c>
      <c r="K50" s="1">
        <v>3.469396E-3</v>
      </c>
      <c r="L50" s="1">
        <v>6.5780190000000005E-4</v>
      </c>
      <c r="R50" s="1"/>
      <c r="T50" s="1"/>
      <c r="U50" s="1"/>
      <c r="W50" s="1"/>
      <c r="X50" s="1"/>
      <c r="Y50" s="1"/>
      <c r="Z50" s="1"/>
      <c r="AA50" s="1"/>
      <c r="AB50" s="1"/>
    </row>
    <row r="51" spans="2:28" x14ac:dyDescent="0.3">
      <c r="B51" s="1"/>
      <c r="D51" s="1"/>
      <c r="E51" s="1"/>
      <c r="G51" s="1"/>
      <c r="H51" s="1"/>
      <c r="I51" s="1"/>
      <c r="J51" s="1"/>
      <c r="K51" s="1"/>
      <c r="L51" s="1"/>
      <c r="R51" s="1"/>
      <c r="T51" s="1"/>
      <c r="U51" s="1"/>
      <c r="W51" s="1"/>
      <c r="X51" s="1"/>
      <c r="Y51" s="1"/>
      <c r="Z51" s="1"/>
      <c r="AA51" s="1"/>
      <c r="AB51" s="1"/>
    </row>
    <row r="55" spans="2:28" x14ac:dyDescent="0.3">
      <c r="B55" s="1"/>
      <c r="D55" s="1"/>
      <c r="E55" s="1"/>
      <c r="G55" s="1"/>
      <c r="H55" s="1"/>
      <c r="I55" s="1"/>
      <c r="J55" s="1"/>
      <c r="K55" s="1"/>
      <c r="L55" s="1"/>
      <c r="R55" s="1"/>
      <c r="T55" s="1"/>
      <c r="U55" s="1"/>
      <c r="W55" s="1"/>
      <c r="X55" s="1"/>
      <c r="Y55" s="1"/>
      <c r="Z55" s="1"/>
      <c r="AA55" s="1"/>
      <c r="AB55" s="1"/>
    </row>
    <row r="57" spans="2:28" x14ac:dyDescent="0.3">
      <c r="B57" s="1"/>
      <c r="D57" s="1"/>
      <c r="E57" s="1"/>
      <c r="G57" s="1"/>
      <c r="H57" s="1"/>
      <c r="I57" s="1"/>
      <c r="J57" s="1"/>
      <c r="K57" s="1"/>
      <c r="L57" s="1"/>
      <c r="R57" s="1"/>
      <c r="T57" s="1"/>
      <c r="U57" s="1"/>
      <c r="W57" s="1"/>
      <c r="X57" s="1"/>
      <c r="Y57" s="1"/>
      <c r="Z57" s="1"/>
      <c r="AA57" s="1"/>
      <c r="AB57" s="1"/>
    </row>
    <row r="58" spans="2:28" x14ac:dyDescent="0.3">
      <c r="B58" s="1"/>
      <c r="D58" s="1"/>
      <c r="E58" s="1"/>
      <c r="G58" s="1"/>
      <c r="H58" s="1"/>
      <c r="I58" s="1"/>
      <c r="J58" s="1"/>
      <c r="K58" s="1"/>
      <c r="L58" s="1"/>
      <c r="R58" s="1"/>
      <c r="T58" s="1"/>
      <c r="U58" s="1"/>
      <c r="W58" s="1"/>
      <c r="X58" s="1"/>
      <c r="Y58" s="1"/>
      <c r="Z58" s="1"/>
      <c r="AA58" s="1"/>
      <c r="AB58" s="1"/>
    </row>
    <row r="62" spans="2:28" x14ac:dyDescent="0.3">
      <c r="B62" s="1"/>
      <c r="D62" s="1"/>
      <c r="E62" s="1"/>
      <c r="G62" s="1"/>
      <c r="H62" s="1"/>
      <c r="I62" s="1"/>
      <c r="J62" s="1"/>
      <c r="K62" s="1"/>
      <c r="L62" s="1"/>
      <c r="R62" s="1"/>
      <c r="T62" s="1"/>
      <c r="U62" s="1"/>
      <c r="W62" s="1"/>
      <c r="X62" s="1"/>
      <c r="Y62" s="1"/>
      <c r="Z62" s="1"/>
      <c r="AA62" s="1"/>
      <c r="AB62" s="1"/>
    </row>
    <row r="64" spans="2:28" x14ac:dyDescent="0.3">
      <c r="B64" s="1"/>
      <c r="D64" s="1"/>
      <c r="E64" s="1"/>
      <c r="G64" s="1"/>
      <c r="H64" s="1"/>
      <c r="I64" s="1"/>
      <c r="J64" s="1"/>
      <c r="K64" s="1"/>
      <c r="L64" s="1"/>
      <c r="R64" s="1"/>
      <c r="T64" s="1"/>
      <c r="U64" s="1"/>
      <c r="W64" s="1"/>
      <c r="X64" s="1"/>
      <c r="Y64" s="1"/>
      <c r="Z64" s="1"/>
      <c r="AA64" s="1"/>
      <c r="AB64" s="1"/>
    </row>
    <row r="65" spans="2:28" x14ac:dyDescent="0.3">
      <c r="B65" s="1"/>
      <c r="D65" s="1"/>
      <c r="E65" s="1"/>
      <c r="G65" s="1"/>
      <c r="H65" s="1"/>
      <c r="I65" s="1"/>
      <c r="J65" s="1"/>
      <c r="K65" s="1"/>
      <c r="L65" s="1"/>
      <c r="R65" s="1"/>
      <c r="T65" s="1"/>
      <c r="U65" s="1"/>
      <c r="W65" s="1"/>
      <c r="X65" s="1"/>
      <c r="Y65" s="1"/>
      <c r="Z65" s="1"/>
      <c r="AA65" s="1"/>
      <c r="AB65" s="1"/>
    </row>
    <row r="69" spans="2:28" x14ac:dyDescent="0.3">
      <c r="B69" s="1"/>
      <c r="D69" s="1"/>
      <c r="E69" s="1"/>
      <c r="G69" s="1"/>
      <c r="H69" s="1"/>
      <c r="I69" s="1"/>
      <c r="J69" s="1"/>
      <c r="K69" s="1"/>
      <c r="L69" s="1"/>
      <c r="R69" s="1"/>
      <c r="T69" s="1"/>
      <c r="U69" s="1"/>
      <c r="W69" s="1"/>
      <c r="X69" s="1"/>
      <c r="Y69" s="1"/>
      <c r="Z69" s="1"/>
      <c r="AA69" s="1"/>
      <c r="AB69" s="1"/>
    </row>
    <row r="71" spans="2:28" x14ac:dyDescent="0.3">
      <c r="B71" s="1"/>
      <c r="D71" s="1"/>
      <c r="E71" s="1"/>
      <c r="G71" s="1"/>
      <c r="H71" s="1"/>
      <c r="I71" s="1"/>
      <c r="J71" s="1"/>
      <c r="K71" s="1"/>
      <c r="L71" s="1"/>
      <c r="R71" s="1"/>
      <c r="T71" s="1"/>
      <c r="U71" s="1"/>
      <c r="W71" s="1"/>
      <c r="X71" s="1"/>
      <c r="Y71" s="1"/>
      <c r="Z71" s="1"/>
      <c r="AA71" s="1"/>
      <c r="AB71" s="1"/>
    </row>
    <row r="72" spans="2:28" x14ac:dyDescent="0.3">
      <c r="B72" s="1"/>
      <c r="D72" s="1"/>
      <c r="E72" s="1"/>
      <c r="G72" s="1"/>
      <c r="H72" s="1"/>
      <c r="I72" s="1"/>
      <c r="J72" s="1"/>
      <c r="K72" s="1"/>
      <c r="L72" s="1"/>
      <c r="R72" s="1"/>
      <c r="T72" s="1"/>
      <c r="U72" s="1"/>
      <c r="W72" s="1"/>
      <c r="X72" s="1"/>
      <c r="Y72" s="1"/>
      <c r="Z72" s="1"/>
      <c r="AA72" s="1"/>
      <c r="AB72" s="1"/>
    </row>
    <row r="76" spans="2:28" x14ac:dyDescent="0.3">
      <c r="B76" s="1"/>
      <c r="D76" s="1"/>
      <c r="E76" s="1"/>
      <c r="G76" s="1"/>
      <c r="H76" s="1"/>
      <c r="I76" s="1"/>
      <c r="J76" s="1"/>
      <c r="K76" s="1"/>
      <c r="L76" s="1"/>
      <c r="R76" s="1"/>
      <c r="T76" s="1"/>
      <c r="U76" s="1"/>
      <c r="W76" s="1"/>
      <c r="X76" s="1"/>
      <c r="Y76" s="1"/>
      <c r="Z76" s="1"/>
      <c r="AA76" s="1"/>
      <c r="AB76" s="1"/>
    </row>
    <row r="78" spans="2:28" x14ac:dyDescent="0.3">
      <c r="B78" s="1"/>
      <c r="D78" s="1"/>
      <c r="E78" s="1"/>
      <c r="G78" s="1"/>
      <c r="H78" s="1"/>
      <c r="I78" s="1"/>
      <c r="J78" s="1"/>
      <c r="K78" s="1"/>
      <c r="L78" s="1"/>
      <c r="R78" s="1"/>
      <c r="T78" s="1"/>
      <c r="U78" s="1"/>
      <c r="W78" s="1"/>
      <c r="X78" s="1"/>
      <c r="Y78" s="1"/>
      <c r="Z78" s="1"/>
      <c r="AA78" s="1"/>
      <c r="AB78" s="1"/>
    </row>
    <row r="79" spans="2:28" x14ac:dyDescent="0.3">
      <c r="B79" s="1"/>
      <c r="D79" s="1"/>
      <c r="E79" s="1"/>
      <c r="G79" s="1"/>
      <c r="H79" s="1"/>
      <c r="I79" s="1"/>
      <c r="J79" s="1"/>
      <c r="K79" s="1"/>
      <c r="L79" s="1"/>
      <c r="R79" s="1"/>
      <c r="T79" s="1"/>
      <c r="U79" s="1"/>
      <c r="W79" s="1"/>
      <c r="X79" s="1"/>
      <c r="Y79" s="1"/>
      <c r="Z79" s="1"/>
      <c r="AA79" s="1"/>
      <c r="AB79" s="1"/>
    </row>
    <row r="83" spans="2:28" x14ac:dyDescent="0.3">
      <c r="R83" s="1"/>
      <c r="T83" s="1"/>
      <c r="U83" s="1"/>
      <c r="W83" s="1"/>
      <c r="X83" s="1"/>
      <c r="Y83" s="1"/>
      <c r="Z83" s="1"/>
      <c r="AA83" s="1"/>
      <c r="AB83" s="1"/>
    </row>
    <row r="85" spans="2:28" x14ac:dyDescent="0.3">
      <c r="B85" s="1"/>
      <c r="D85" s="1"/>
      <c r="E85" s="1"/>
      <c r="G85" s="1"/>
      <c r="H85" s="1"/>
      <c r="I85" s="1"/>
      <c r="J85" s="1"/>
      <c r="K85" s="1"/>
      <c r="L85" s="1"/>
      <c r="R85" s="1"/>
      <c r="T85" s="1"/>
      <c r="U85" s="1"/>
      <c r="W85" s="1"/>
      <c r="X85" s="1"/>
      <c r="Y85" s="1"/>
      <c r="Z85" s="1"/>
      <c r="AA85" s="1"/>
      <c r="AB85" s="1"/>
    </row>
    <row r="86" spans="2:28" x14ac:dyDescent="0.3">
      <c r="R86" s="1"/>
      <c r="T86" s="1"/>
      <c r="U86" s="1"/>
      <c r="W86" s="1"/>
      <c r="X86" s="1"/>
      <c r="Y86" s="1"/>
      <c r="Z86" s="1"/>
      <c r="AA86" s="1"/>
      <c r="AB86" s="1"/>
    </row>
    <row r="88" spans="2:28" x14ac:dyDescent="0.3">
      <c r="B88" s="1"/>
      <c r="D88" s="1"/>
      <c r="E88" s="1"/>
      <c r="G88" s="1"/>
      <c r="H88" s="1"/>
      <c r="I88" s="1"/>
      <c r="J88" s="1"/>
      <c r="K88" s="1"/>
      <c r="L88" s="1"/>
    </row>
    <row r="89" spans="2:28" x14ac:dyDescent="0.3">
      <c r="B89" s="1"/>
      <c r="D89" s="1"/>
      <c r="E89" s="1"/>
      <c r="G89" s="1"/>
      <c r="H89" s="1"/>
      <c r="I89" s="1"/>
      <c r="J89" s="1"/>
      <c r="K89" s="1"/>
      <c r="L89" s="1"/>
    </row>
    <row r="92" spans="2:28" x14ac:dyDescent="0.3">
      <c r="B92" s="1"/>
      <c r="D92" s="1"/>
      <c r="E92" s="1"/>
      <c r="G92" s="1"/>
      <c r="H92" s="1"/>
      <c r="I92" s="1"/>
      <c r="J92" s="1"/>
      <c r="K92" s="1"/>
      <c r="L92" s="1"/>
    </row>
    <row r="93" spans="2:28" x14ac:dyDescent="0.3">
      <c r="R93" s="1"/>
      <c r="T93" s="1"/>
      <c r="U93" s="1"/>
      <c r="W93" s="1"/>
      <c r="X93" s="1"/>
      <c r="Y93" s="1"/>
      <c r="Z93" s="1"/>
      <c r="AA93" s="1"/>
      <c r="AB93" s="1"/>
    </row>
    <row r="95" spans="2:28" x14ac:dyDescent="0.3">
      <c r="B95" s="1"/>
      <c r="D95" s="1"/>
      <c r="E95" s="1"/>
      <c r="G95" s="1"/>
      <c r="H95" s="1"/>
      <c r="I95" s="1"/>
      <c r="J95" s="1"/>
      <c r="K95" s="1"/>
      <c r="L95" s="1"/>
      <c r="R95" s="1"/>
      <c r="T95" s="1"/>
      <c r="U95" s="1"/>
      <c r="W95" s="1"/>
      <c r="X95" s="1"/>
      <c r="Y95" s="1"/>
      <c r="Z95" s="1"/>
      <c r="AA95" s="1"/>
      <c r="AB95" s="1"/>
    </row>
    <row r="96" spans="2:28" x14ac:dyDescent="0.3">
      <c r="B96" s="1"/>
      <c r="D96" s="1"/>
      <c r="E96" s="1"/>
      <c r="G96" s="1"/>
      <c r="H96" s="1"/>
      <c r="I96" s="1"/>
      <c r="J96" s="1"/>
      <c r="K96" s="1"/>
      <c r="L96" s="1"/>
    </row>
    <row r="99" spans="2:28" x14ac:dyDescent="0.3">
      <c r="B99" s="1"/>
      <c r="D99" s="1"/>
      <c r="E99" s="1"/>
      <c r="G99" s="1"/>
      <c r="H99" s="1"/>
      <c r="I99" s="1"/>
      <c r="J99" s="1"/>
      <c r="K99" s="1"/>
      <c r="L99" s="1"/>
    </row>
    <row r="100" spans="2:28" x14ac:dyDescent="0.3">
      <c r="R100" s="1"/>
      <c r="T100" s="1"/>
      <c r="U100" s="1"/>
      <c r="W100" s="1"/>
      <c r="X100" s="1"/>
      <c r="Y100" s="1"/>
      <c r="Z100" s="1"/>
      <c r="AA100" s="1"/>
      <c r="AB100" s="1"/>
    </row>
    <row r="102" spans="2:28" x14ac:dyDescent="0.3">
      <c r="B102" s="1"/>
      <c r="D102" s="1"/>
      <c r="E102" s="1"/>
      <c r="G102" s="1"/>
      <c r="H102" s="1"/>
      <c r="I102" s="1"/>
      <c r="J102" s="1"/>
      <c r="K102" s="1"/>
      <c r="L102" s="1"/>
      <c r="R102" s="1"/>
      <c r="T102" s="1"/>
      <c r="U102" s="1"/>
      <c r="W102" s="1"/>
      <c r="X102" s="1"/>
      <c r="Y102" s="1"/>
      <c r="Z102" s="1"/>
      <c r="AA102" s="1"/>
      <c r="AB102" s="1"/>
    </row>
    <row r="103" spans="2:28" x14ac:dyDescent="0.3">
      <c r="B103" s="1"/>
      <c r="D103" s="1"/>
      <c r="E103" s="1"/>
      <c r="G103" s="1"/>
      <c r="H103" s="1"/>
      <c r="I103" s="1"/>
      <c r="J103" s="1"/>
      <c r="K103" s="1"/>
      <c r="L103" s="1"/>
    </row>
    <row r="106" spans="2:28" x14ac:dyDescent="0.3">
      <c r="B106" s="1"/>
      <c r="D106" s="1"/>
      <c r="E106" s="1"/>
      <c r="G106" s="1"/>
      <c r="H106" s="1"/>
      <c r="I106" s="1"/>
      <c r="J106" s="1"/>
      <c r="K106" s="1"/>
      <c r="L106" s="1"/>
    </row>
    <row r="107" spans="2:28" x14ac:dyDescent="0.3">
      <c r="R107" s="1"/>
      <c r="T107" s="1"/>
      <c r="U107" s="1"/>
      <c r="W107" s="1"/>
      <c r="X107" s="1"/>
      <c r="Y107" s="1"/>
      <c r="Z107" s="1"/>
      <c r="AA107" s="1"/>
      <c r="AB107" s="1"/>
    </row>
    <row r="109" spans="2:28" x14ac:dyDescent="0.3">
      <c r="B109" s="1"/>
      <c r="D109" s="1"/>
      <c r="E109" s="1"/>
      <c r="G109" s="1"/>
      <c r="H109" s="1"/>
      <c r="I109" s="1"/>
      <c r="J109" s="1"/>
      <c r="K109" s="1"/>
      <c r="L109" s="1"/>
    </row>
    <row r="113" spans="2:28" x14ac:dyDescent="0.3">
      <c r="B113" s="1"/>
      <c r="D113" s="1"/>
      <c r="E113" s="1"/>
      <c r="G113" s="1"/>
      <c r="H113" s="1"/>
      <c r="I113" s="1"/>
      <c r="J113" s="1"/>
      <c r="K113" s="1"/>
      <c r="L113" s="1"/>
    </row>
    <row r="114" spans="2:28" x14ac:dyDescent="0.3">
      <c r="R114" s="1"/>
      <c r="T114" s="1"/>
      <c r="U114" s="1"/>
      <c r="W114" s="1"/>
      <c r="X114" s="1"/>
      <c r="Y114" s="1"/>
      <c r="Z114" s="1"/>
      <c r="AA114" s="1"/>
      <c r="AB114" s="1"/>
    </row>
    <row r="115" spans="2:28" x14ac:dyDescent="0.3">
      <c r="R115" s="1"/>
      <c r="T115" s="1"/>
      <c r="U115" s="1"/>
      <c r="W115" s="1"/>
      <c r="X115" s="1"/>
      <c r="Y115" s="1"/>
      <c r="Z115" s="1"/>
      <c r="AA115" s="1"/>
      <c r="AB115" s="1"/>
    </row>
    <row r="116" spans="2:28" x14ac:dyDescent="0.3">
      <c r="B116" s="1"/>
      <c r="D116" s="1"/>
      <c r="E116" s="1"/>
      <c r="G116" s="1"/>
      <c r="H116" s="1"/>
      <c r="I116" s="1"/>
      <c r="J116" s="1"/>
      <c r="K116" s="1"/>
      <c r="L116" s="1"/>
    </row>
    <row r="120" spans="2:28" x14ac:dyDescent="0.3">
      <c r="B120" s="1"/>
      <c r="D120" s="1"/>
      <c r="E120" s="1"/>
      <c r="G120" s="1"/>
      <c r="H120" s="1"/>
      <c r="I120" s="1"/>
      <c r="J120" s="1"/>
      <c r="K120" s="1"/>
      <c r="L120" s="1"/>
    </row>
    <row r="121" spans="2:28" x14ac:dyDescent="0.3">
      <c r="R121" s="1"/>
      <c r="T121" s="1"/>
      <c r="U121" s="1"/>
      <c r="W121" s="1"/>
      <c r="X121" s="1"/>
      <c r="Y121" s="1"/>
      <c r="Z121" s="1"/>
      <c r="AA121" s="1"/>
      <c r="AB121" s="1"/>
    </row>
    <row r="122" spans="2:28" x14ac:dyDescent="0.3">
      <c r="R122" s="1"/>
      <c r="T122" s="1"/>
      <c r="U122" s="1"/>
      <c r="W122" s="1"/>
      <c r="X122" s="1"/>
      <c r="Y122" s="1"/>
      <c r="Z122" s="1"/>
      <c r="AA122" s="1"/>
      <c r="AB122" s="1"/>
    </row>
    <row r="123" spans="2:28" x14ac:dyDescent="0.3">
      <c r="B123" s="1"/>
      <c r="D123" s="1"/>
      <c r="E123" s="1"/>
      <c r="G123" s="1"/>
      <c r="H123" s="1"/>
      <c r="I123" s="1"/>
      <c r="J123" s="1"/>
      <c r="K123" s="1"/>
      <c r="L123" s="1"/>
    </row>
    <row r="127" spans="2:28" x14ac:dyDescent="0.3">
      <c r="B127" s="1"/>
      <c r="D127" s="1"/>
      <c r="E127" s="1"/>
      <c r="G127" s="1"/>
      <c r="H127" s="1"/>
      <c r="I127" s="1"/>
      <c r="J127" s="1"/>
      <c r="K127" s="1"/>
      <c r="L127" s="1"/>
    </row>
    <row r="128" spans="2:28" x14ac:dyDescent="0.3">
      <c r="R128" s="1"/>
      <c r="T128" s="1"/>
      <c r="U128" s="1"/>
      <c r="W128" s="1"/>
      <c r="X128" s="1"/>
      <c r="Y128" s="1"/>
      <c r="Z128" s="1"/>
      <c r="AA128" s="1"/>
      <c r="AB128" s="1"/>
    </row>
    <row r="129" spans="2:28" x14ac:dyDescent="0.3">
      <c r="R129" s="1"/>
      <c r="T129" s="1"/>
      <c r="U129" s="1"/>
      <c r="W129" s="1"/>
      <c r="X129" s="1"/>
      <c r="Y129" s="1"/>
      <c r="Z129" s="1"/>
      <c r="AA129" s="1"/>
      <c r="AB129" s="1"/>
    </row>
    <row r="130" spans="2:28" x14ac:dyDescent="0.3">
      <c r="B130" s="1"/>
      <c r="D130" s="1"/>
      <c r="E130" s="1"/>
      <c r="G130" s="1"/>
      <c r="H130" s="1"/>
      <c r="I130" s="1"/>
      <c r="J130" s="1"/>
      <c r="K130" s="1"/>
      <c r="L130" s="1"/>
    </row>
    <row r="135" spans="2:28" x14ac:dyDescent="0.3">
      <c r="R135" s="1"/>
      <c r="T135" s="1"/>
      <c r="U135" s="1"/>
      <c r="W135" s="1"/>
      <c r="X135" s="1"/>
      <c r="Y135" s="1"/>
      <c r="Z135" s="1"/>
      <c r="AA135" s="1"/>
      <c r="AB135" s="1"/>
    </row>
    <row r="136" spans="2:28" x14ac:dyDescent="0.3">
      <c r="R136" s="1"/>
      <c r="T136" s="1"/>
      <c r="U136" s="1"/>
      <c r="W136" s="1"/>
      <c r="X136" s="1"/>
      <c r="Y136" s="1"/>
      <c r="Z136" s="1"/>
      <c r="AA136" s="1"/>
      <c r="AB136" s="1"/>
    </row>
    <row r="137" spans="2:28" x14ac:dyDescent="0.3">
      <c r="B137" s="1"/>
      <c r="D137" s="1"/>
      <c r="E137" s="1"/>
      <c r="G137" s="1"/>
      <c r="H137" s="1"/>
      <c r="I137" s="1"/>
      <c r="J137" s="1"/>
      <c r="K137" s="1"/>
      <c r="L137" s="1"/>
    </row>
    <row r="142" spans="2:28" x14ac:dyDescent="0.3">
      <c r="R142" s="1"/>
      <c r="T142" s="1"/>
      <c r="U142" s="1"/>
      <c r="W142" s="1"/>
      <c r="X142" s="1"/>
      <c r="Y142" s="1"/>
      <c r="Z142" s="1"/>
      <c r="AA142" s="1"/>
      <c r="AB142" s="1"/>
    </row>
    <row r="143" spans="2:28" x14ac:dyDescent="0.3">
      <c r="R143" s="1"/>
      <c r="T143" s="1"/>
      <c r="U143" s="1"/>
      <c r="W143" s="1"/>
      <c r="X143" s="1"/>
      <c r="Y143" s="1"/>
      <c r="Z143" s="1"/>
      <c r="AA143" s="1"/>
      <c r="AB143" s="1"/>
    </row>
    <row r="144" spans="2:28" x14ac:dyDescent="0.3">
      <c r="B144" s="1"/>
      <c r="D144" s="1"/>
      <c r="E144" s="1"/>
      <c r="G144" s="1"/>
      <c r="H144" s="1"/>
      <c r="I144" s="1"/>
      <c r="J144" s="1"/>
      <c r="K144" s="1"/>
      <c r="L144" s="1"/>
    </row>
    <row r="150" spans="2:28" x14ac:dyDescent="0.3">
      <c r="R150" s="1"/>
      <c r="T150" s="1"/>
      <c r="U150" s="1"/>
      <c r="W150" s="1"/>
      <c r="X150" s="1"/>
      <c r="Y150" s="1"/>
      <c r="Z150" s="1"/>
      <c r="AA150" s="1"/>
      <c r="AB150" s="1"/>
    </row>
    <row r="151" spans="2:28" x14ac:dyDescent="0.3">
      <c r="B151" s="1"/>
      <c r="D151" s="1"/>
      <c r="E151" s="1"/>
      <c r="G151" s="1"/>
      <c r="H151" s="1"/>
      <c r="I151" s="1"/>
      <c r="J151" s="1"/>
      <c r="K151" s="1"/>
      <c r="L151" s="1"/>
    </row>
    <row r="152" spans="2:28" x14ac:dyDescent="0.3">
      <c r="R152" s="1"/>
      <c r="T152" s="1"/>
      <c r="U152" s="1"/>
      <c r="W152" s="1"/>
      <c r="X152" s="1"/>
      <c r="Y152" s="1"/>
      <c r="Z152" s="1"/>
      <c r="AA152" s="1"/>
      <c r="AB152" s="1"/>
    </row>
    <row r="154" spans="2:28" x14ac:dyDescent="0.3">
      <c r="B154" s="1"/>
      <c r="D154" s="1"/>
      <c r="E154" s="1"/>
      <c r="G154" s="1"/>
      <c r="H154" s="1"/>
      <c r="I154" s="1"/>
      <c r="J154" s="1"/>
      <c r="K154" s="1"/>
      <c r="L154" s="1"/>
    </row>
    <row r="157" spans="2:28" x14ac:dyDescent="0.3">
      <c r="R157" s="1"/>
      <c r="T157" s="1"/>
      <c r="U157" s="1"/>
      <c r="W157" s="1"/>
      <c r="X157" s="1"/>
      <c r="Y157" s="1"/>
      <c r="Z157" s="1"/>
      <c r="AA157" s="1"/>
      <c r="AB157" s="1"/>
    </row>
    <row r="158" spans="2:28" x14ac:dyDescent="0.3">
      <c r="B158" s="1"/>
      <c r="D158" s="1"/>
      <c r="E158" s="1"/>
      <c r="G158" s="1"/>
      <c r="H158" s="1"/>
      <c r="I158" s="1"/>
      <c r="J158" s="1"/>
      <c r="K158" s="1"/>
      <c r="L158" s="1"/>
    </row>
    <row r="159" spans="2:28" x14ac:dyDescent="0.3">
      <c r="R159" s="1"/>
      <c r="T159" s="1"/>
      <c r="U159" s="1"/>
      <c r="W159" s="1"/>
      <c r="X159" s="1"/>
      <c r="Y159" s="1"/>
      <c r="Z159" s="1"/>
      <c r="AA159" s="1"/>
      <c r="AB159" s="1"/>
    </row>
    <row r="161" spans="2:28" x14ac:dyDescent="0.3">
      <c r="B161" s="1"/>
      <c r="D161" s="1"/>
      <c r="E161" s="1"/>
      <c r="G161" s="1"/>
      <c r="H161" s="1"/>
      <c r="I161" s="1"/>
      <c r="J161" s="1"/>
      <c r="K161" s="1"/>
      <c r="L161" s="1"/>
    </row>
    <row r="164" spans="2:28" x14ac:dyDescent="0.3">
      <c r="R164" s="1"/>
      <c r="T164" s="1"/>
      <c r="U164" s="1"/>
      <c r="W164" s="1"/>
      <c r="X164" s="1"/>
      <c r="Y164" s="1"/>
      <c r="Z164" s="1"/>
      <c r="AA164" s="1"/>
      <c r="AB164" s="1"/>
    </row>
    <row r="165" spans="2:28" x14ac:dyDescent="0.3">
      <c r="B165" s="1"/>
      <c r="D165" s="1"/>
      <c r="E165" s="1"/>
      <c r="G165" s="1"/>
      <c r="H165" s="1"/>
      <c r="I165" s="1"/>
      <c r="J165" s="1"/>
      <c r="K165" s="1"/>
      <c r="L165" s="1"/>
    </row>
    <row r="166" spans="2:28" x14ac:dyDescent="0.3">
      <c r="R166" s="1"/>
      <c r="T166" s="1"/>
      <c r="U166" s="1"/>
      <c r="W166" s="1"/>
      <c r="X166" s="1"/>
      <c r="Y166" s="1"/>
      <c r="Z166" s="1"/>
      <c r="AA166" s="1"/>
      <c r="AB166" s="1"/>
    </row>
    <row r="168" spans="2:28" x14ac:dyDescent="0.3">
      <c r="B168" s="1"/>
      <c r="D168" s="1"/>
      <c r="E168" s="1"/>
      <c r="G168" s="1"/>
      <c r="H168" s="1"/>
      <c r="I168" s="1"/>
      <c r="J168" s="1"/>
      <c r="K168" s="1"/>
      <c r="L168" s="1"/>
    </row>
    <row r="172" spans="2:28" x14ac:dyDescent="0.3">
      <c r="B172" s="1"/>
      <c r="D172" s="1"/>
      <c r="E172" s="1"/>
      <c r="G172" s="1"/>
      <c r="H172" s="1"/>
      <c r="I172" s="1"/>
      <c r="J172" s="1"/>
      <c r="K172" s="1"/>
      <c r="L172" s="1"/>
    </row>
    <row r="173" spans="2:28" x14ac:dyDescent="0.3">
      <c r="R173" s="1"/>
      <c r="T173" s="1"/>
      <c r="U173" s="1"/>
      <c r="W173" s="1"/>
      <c r="X173" s="1"/>
      <c r="Y173" s="1"/>
      <c r="Z173" s="1"/>
      <c r="AA173" s="1"/>
      <c r="AB173" s="1"/>
    </row>
    <row r="174" spans="2:28" x14ac:dyDescent="0.3">
      <c r="R174" s="1"/>
      <c r="T174" s="1"/>
      <c r="U174" s="1"/>
      <c r="W174" s="1"/>
      <c r="X174" s="1"/>
      <c r="Y174" s="1"/>
      <c r="Z174" s="1"/>
      <c r="AA174" s="1"/>
      <c r="AB174" s="1"/>
    </row>
    <row r="175" spans="2:28" x14ac:dyDescent="0.3">
      <c r="B175" s="1"/>
      <c r="D175" s="1"/>
      <c r="E175" s="1"/>
      <c r="G175" s="1"/>
      <c r="H175" s="1"/>
      <c r="I175" s="1"/>
      <c r="J175" s="1"/>
      <c r="K175" s="1"/>
      <c r="L175" s="1"/>
    </row>
    <row r="179" spans="2:28" x14ac:dyDescent="0.3">
      <c r="B179" s="1"/>
      <c r="D179" s="1"/>
      <c r="E179" s="1"/>
      <c r="G179" s="1"/>
      <c r="H179" s="1"/>
      <c r="I179" s="1"/>
      <c r="J179" s="1"/>
      <c r="K179" s="1"/>
      <c r="L179" s="1"/>
    </row>
    <row r="181" spans="2:28" x14ac:dyDescent="0.3">
      <c r="R181" s="1"/>
      <c r="T181" s="1"/>
      <c r="U181" s="1"/>
      <c r="W181" s="1"/>
      <c r="X181" s="1"/>
      <c r="Y181" s="1"/>
      <c r="Z181" s="1"/>
      <c r="AA181" s="1"/>
      <c r="AB181" s="1"/>
    </row>
    <row r="185" spans="2:28" x14ac:dyDescent="0.3">
      <c r="B185" s="1"/>
      <c r="D185" s="1"/>
      <c r="E185" s="1"/>
      <c r="G185" s="1"/>
      <c r="H185" s="1"/>
      <c r="I185" s="1"/>
      <c r="J185" s="1"/>
      <c r="K185" s="1"/>
      <c r="L185" s="1"/>
    </row>
    <row r="188" spans="2:28" x14ac:dyDescent="0.3">
      <c r="R188" s="1"/>
      <c r="T188" s="1"/>
      <c r="U188" s="1"/>
      <c r="W188" s="1"/>
      <c r="X188" s="1"/>
      <c r="Y188" s="1"/>
      <c r="Z188" s="1"/>
      <c r="AA188" s="1"/>
      <c r="AB188" s="1"/>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Q188"/>
  <sheetViews>
    <sheetView topLeftCell="AH4" workbookViewId="0">
      <selection activeCell="AE10" sqref="AE10:AP10"/>
    </sheetView>
  </sheetViews>
  <sheetFormatPr defaultRowHeight="14.4" x14ac:dyDescent="0.3"/>
  <cols>
    <col min="1" max="1" width="17.77734375" bestFit="1" customWidth="1"/>
    <col min="3" max="3" width="20.21875" bestFit="1" customWidth="1"/>
    <col min="4" max="4" width="18.6640625" bestFit="1" customWidth="1"/>
    <col min="5" max="5" width="16.5546875" bestFit="1" customWidth="1"/>
    <col min="6" max="6" width="20" bestFit="1" customWidth="1"/>
    <col min="7" max="7" width="22.44140625" bestFit="1" customWidth="1"/>
    <col min="8" max="8" width="16.5546875" bestFit="1" customWidth="1"/>
    <col min="9" max="9" width="31.77734375" bestFit="1" customWidth="1"/>
    <col min="10" max="10" width="16.5546875" bestFit="1" customWidth="1"/>
    <col min="11" max="11" width="26.5546875" bestFit="1" customWidth="1"/>
    <col min="12" max="12" width="16.5546875" bestFit="1" customWidth="1"/>
    <col min="19" max="19" width="20.21875" bestFit="1" customWidth="1"/>
    <col min="20" max="20" width="18.6640625" bestFit="1" customWidth="1"/>
    <col min="21" max="21" width="16.5546875" bestFit="1" customWidth="1"/>
    <col min="22" max="22" width="20" bestFit="1" customWidth="1"/>
    <col min="23" max="23" width="22.44140625" bestFit="1" customWidth="1"/>
    <col min="24" max="24" width="16.5546875" bestFit="1" customWidth="1"/>
    <col min="25" max="25" width="31.77734375" bestFit="1" customWidth="1"/>
    <col min="26" max="26" width="16.5546875" bestFit="1" customWidth="1"/>
    <col min="27" max="27" width="26.5546875" bestFit="1" customWidth="1"/>
    <col min="28" max="28" width="16.5546875" bestFit="1" customWidth="1"/>
    <col min="31" max="31" width="31.21875" bestFit="1" customWidth="1"/>
    <col min="32" max="32" width="20.21875" bestFit="1" customWidth="1"/>
    <col min="33" max="33" width="18.6640625" bestFit="1" customWidth="1"/>
    <col min="34" max="34" width="16.5546875" bestFit="1" customWidth="1"/>
    <col min="35" max="35" width="20" bestFit="1" customWidth="1"/>
    <col min="36" max="36" width="23.44140625" bestFit="1" customWidth="1"/>
    <col min="37" max="37" width="20.6640625" bestFit="1" customWidth="1"/>
    <col min="38" max="38" width="14.6640625" bestFit="1" customWidth="1"/>
    <col min="39" max="39" width="18.6640625" bestFit="1" customWidth="1"/>
    <col min="40" max="40" width="11.5546875" bestFit="1" customWidth="1"/>
    <col min="41" max="41" width="26.5546875" bestFit="1" customWidth="1"/>
    <col min="42" max="42" width="16.5546875" bestFit="1" customWidth="1"/>
    <col min="43" max="43" width="25.5546875" bestFit="1" customWidth="1"/>
  </cols>
  <sheetData>
    <row r="4" spans="2:43" ht="25.8" x14ac:dyDescent="0.5">
      <c r="B4" s="4" t="s">
        <v>11</v>
      </c>
      <c r="R4" s="4" t="s">
        <v>12</v>
      </c>
      <c r="AE4" s="3" t="s">
        <v>13</v>
      </c>
    </row>
    <row r="7" spans="2:43" ht="18" x14ac:dyDescent="0.35">
      <c r="B7" t="s">
        <v>1</v>
      </c>
      <c r="C7" t="s">
        <v>2</v>
      </c>
      <c r="D7" t="s">
        <v>3</v>
      </c>
      <c r="E7" t="s">
        <v>4</v>
      </c>
      <c r="F7" t="s">
        <v>5</v>
      </c>
      <c r="G7" t="s">
        <v>6</v>
      </c>
      <c r="H7" t="s">
        <v>14</v>
      </c>
      <c r="I7" t="s">
        <v>7</v>
      </c>
      <c r="J7" t="s">
        <v>4</v>
      </c>
      <c r="K7" t="s">
        <v>8</v>
      </c>
      <c r="L7" t="s">
        <v>4</v>
      </c>
      <c r="R7" t="s">
        <v>1</v>
      </c>
      <c r="S7" t="s">
        <v>2</v>
      </c>
      <c r="T7" t="s">
        <v>3</v>
      </c>
      <c r="U7" t="s">
        <v>4</v>
      </c>
      <c r="V7" t="s">
        <v>5</v>
      </c>
      <c r="W7" t="s">
        <v>6</v>
      </c>
      <c r="X7" t="s">
        <v>14</v>
      </c>
      <c r="Y7" t="s">
        <v>7</v>
      </c>
      <c r="Z7" t="s">
        <v>4</v>
      </c>
      <c r="AA7" t="s">
        <v>8</v>
      </c>
      <c r="AB7" t="s">
        <v>4</v>
      </c>
      <c r="AE7" t="s">
        <v>1</v>
      </c>
      <c r="AF7" t="s">
        <v>2</v>
      </c>
      <c r="AG7" t="s">
        <v>3</v>
      </c>
      <c r="AH7" t="s">
        <v>4</v>
      </c>
      <c r="AI7" t="s">
        <v>5</v>
      </c>
      <c r="AJ7" s="6" t="s">
        <v>6</v>
      </c>
      <c r="AK7" s="6" t="s">
        <v>15</v>
      </c>
      <c r="AL7" s="2" t="s">
        <v>16</v>
      </c>
      <c r="AM7" s="2" t="s">
        <v>58</v>
      </c>
      <c r="AN7" s="2" t="s">
        <v>17</v>
      </c>
      <c r="AO7" t="s">
        <v>8</v>
      </c>
      <c r="AP7" t="s">
        <v>4</v>
      </c>
      <c r="AQ7" s="18" t="s">
        <v>125</v>
      </c>
    </row>
    <row r="8" spans="2:43" ht="18" x14ac:dyDescent="0.35">
      <c r="B8" s="1"/>
      <c r="D8" s="1"/>
      <c r="E8" s="1"/>
      <c r="G8" s="1"/>
      <c r="H8" s="1"/>
      <c r="I8" s="1"/>
      <c r="J8" s="1"/>
      <c r="K8" s="1"/>
      <c r="L8" s="1"/>
      <c r="R8" s="1"/>
      <c r="T8" s="1"/>
      <c r="U8" s="1"/>
      <c r="W8" s="1"/>
      <c r="X8" s="1"/>
      <c r="Y8" s="1"/>
      <c r="Z8" s="1"/>
      <c r="AA8" s="1"/>
      <c r="AB8" s="1"/>
      <c r="AE8" s="1"/>
      <c r="AG8" s="1"/>
      <c r="AH8" s="1"/>
      <c r="AI8" s="5"/>
      <c r="AJ8" s="7"/>
      <c r="AK8" s="7"/>
      <c r="AL8" s="8"/>
      <c r="AM8" s="8"/>
      <c r="AN8" s="8"/>
      <c r="AO8" s="1"/>
      <c r="AP8" s="1"/>
      <c r="AQ8" s="12"/>
    </row>
    <row r="9" spans="2:43" ht="18" x14ac:dyDescent="0.35">
      <c r="B9" s="1"/>
      <c r="D9" s="1"/>
      <c r="E9" s="1"/>
      <c r="G9" s="1"/>
      <c r="H9" s="1"/>
      <c r="I9" s="1"/>
      <c r="J9" s="1"/>
      <c r="K9" s="1"/>
      <c r="L9" s="1"/>
      <c r="R9" s="1"/>
      <c r="T9" s="1"/>
      <c r="U9" s="1"/>
      <c r="W9" s="1"/>
      <c r="X9" s="1"/>
      <c r="Y9" s="1"/>
      <c r="Z9" s="1"/>
      <c r="AA9" s="1"/>
      <c r="AB9" s="1"/>
      <c r="AE9" s="1"/>
      <c r="AG9" s="1"/>
      <c r="AH9" s="1"/>
      <c r="AI9" s="5"/>
      <c r="AJ9" s="7"/>
      <c r="AK9" s="7"/>
      <c r="AL9" s="8"/>
      <c r="AM9" s="8"/>
      <c r="AN9" s="8"/>
      <c r="AO9" s="1"/>
      <c r="AP9" s="1"/>
      <c r="AQ9" s="12"/>
    </row>
    <row r="10" spans="2:43" ht="18" x14ac:dyDescent="0.35">
      <c r="B10" s="1">
        <f>B22</f>
        <v>7.9000000000000001E-2</v>
      </c>
      <c r="C10">
        <f>C22+C29+C36+C43+C50+C57+C64+C71</f>
        <v>8000</v>
      </c>
      <c r="D10" s="1">
        <f>SUM(D22+D29+D36+D43+D50+D57+D64+D71)/8</f>
        <v>8.8256862500000001E-14</v>
      </c>
      <c r="E10" s="1">
        <f>SUM(E22+E29+E36+E43+E50+E57+E64+E71)/8</f>
        <v>1.5072466249999999E-12</v>
      </c>
      <c r="F10">
        <f>F22+F29+F36+F43+F50+F57+F64+F71</f>
        <v>63</v>
      </c>
      <c r="G10" s="1">
        <f>F10/C10</f>
        <v>7.8750000000000001E-3</v>
      </c>
      <c r="H10" s="1">
        <f>SQRT(F10)</f>
        <v>7.9372539331937721</v>
      </c>
      <c r="I10" s="1">
        <f>SUM(I22+I29+I36+I43+I50+I57+I64+I71)/8</f>
        <v>8.7741537500000012E-4</v>
      </c>
      <c r="J10" s="1">
        <f>SUM(J22+J29+J36+J43+J50+J57+J64+J71)/8</f>
        <v>9.5672687499999992E-5</v>
      </c>
      <c r="K10" s="1">
        <f>SUM(K22+K29+K36+K43+K50+K57+K64+K71)/8</f>
        <v>5.2349962500000003E-3</v>
      </c>
      <c r="L10" s="1">
        <f>SUM(L22+L29+L36+L43+L50+L57+L64+L71)/8</f>
        <v>7.72902625E-4</v>
      </c>
      <c r="R10" s="1">
        <f>R22</f>
        <v>7.9000000000000001E-2</v>
      </c>
      <c r="S10">
        <f>S22+S29+S36+S43+S50+S57+S64+S71</f>
        <v>8000</v>
      </c>
      <c r="T10" s="1">
        <f>SUM(T22+T29+T36+T43+T50+T57+T64+T71)/8</f>
        <v>1.3649616249999998E-13</v>
      </c>
      <c r="U10" s="1">
        <f>SUM(U22+U29+U36+U43+U50+U57+U64+U71)/8</f>
        <v>1.9193205000000002E-12</v>
      </c>
      <c r="V10">
        <f>V22+V29+V36+V43+V50+V57+V64+V71</f>
        <v>79</v>
      </c>
      <c r="W10" s="1">
        <f>V10/S10</f>
        <v>9.8750000000000001E-3</v>
      </c>
      <c r="X10" s="1">
        <f>SQRT(V10)</f>
        <v>8.8881944173155887</v>
      </c>
      <c r="Y10" s="1">
        <f>SUM(Y22+Y29+Y36+Y43+Y50+Y57+Y64+Y71)/8</f>
        <v>5.4691272500000006E-3</v>
      </c>
      <c r="Z10" s="1">
        <f>SUM(Z22+Z29+Z36+Z43+Z50+Z57+Z64+Z71)/8</f>
        <v>3.1568488750000003E-4</v>
      </c>
      <c r="AA10" s="1">
        <f>SUM(AA22+AA29+AA36+AA43+AA50+AA57+AA64+AA71)/8</f>
        <v>6.5400249999999997E-3</v>
      </c>
      <c r="AB10" s="1">
        <f>SUM(AB22+AB29+AB36+AB43+AB50+AB57+AB64+AB71)/8</f>
        <v>9.5983574999999996E-4</v>
      </c>
      <c r="AE10" s="1">
        <f>R10</f>
        <v>7.9000000000000001E-2</v>
      </c>
      <c r="AF10">
        <f>S10</f>
        <v>8000</v>
      </c>
      <c r="AG10" s="1">
        <f>T10-D10</f>
        <v>4.8239299999999979E-14</v>
      </c>
      <c r="AH10" s="1">
        <f>(U10+E10)/2</f>
        <v>1.7132835625000002E-12</v>
      </c>
      <c r="AI10" s="5">
        <f>V10-F10</f>
        <v>16</v>
      </c>
      <c r="AJ10" s="7">
        <f>AI10/AF10</f>
        <v>2E-3</v>
      </c>
      <c r="AK10" s="7">
        <f>SQRT((1/SQRT(AI10))^2+((SQRT(F10))/(AI10))^2)</f>
        <v>0.55551215108222429</v>
      </c>
      <c r="AL10" s="8">
        <f>AJ10</f>
        <v>2E-3</v>
      </c>
      <c r="AM10" s="8">
        <f>AL10*407000</f>
        <v>814</v>
      </c>
      <c r="AN10" s="8">
        <f>AM10*AK10</f>
        <v>452.18689098093057</v>
      </c>
      <c r="AO10" s="1">
        <f>(AA10+K10)/2</f>
        <v>5.887510625E-3</v>
      </c>
      <c r="AP10" s="1">
        <f>(AB10+L10)/2</f>
        <v>8.6636918749999998E-4</v>
      </c>
      <c r="AQ10" s="12">
        <f>AO10*12.37/170*1000</f>
        <v>0.42840297900735291</v>
      </c>
    </row>
    <row r="11" spans="2:43" ht="18" x14ac:dyDescent="0.35">
      <c r="B11" s="1"/>
      <c r="D11" s="1"/>
      <c r="E11" s="1"/>
      <c r="G11" s="1"/>
      <c r="H11" s="1"/>
      <c r="I11" s="1"/>
      <c r="J11" s="1"/>
      <c r="K11" s="1"/>
      <c r="L11" s="1"/>
      <c r="R11" s="1"/>
      <c r="T11" s="1"/>
      <c r="U11" s="1"/>
      <c r="W11" s="1"/>
      <c r="X11" s="1"/>
      <c r="Y11" s="1"/>
      <c r="Z11" s="1"/>
      <c r="AA11" s="1"/>
      <c r="AB11" s="1"/>
      <c r="AE11" s="1"/>
      <c r="AG11" s="1"/>
      <c r="AH11" s="1"/>
      <c r="AI11" s="5"/>
      <c r="AJ11" s="7"/>
      <c r="AK11" s="7"/>
      <c r="AL11" s="8"/>
      <c r="AM11" s="8"/>
      <c r="AN11" s="8"/>
      <c r="AO11" s="1"/>
      <c r="AP11" s="1"/>
      <c r="AQ11" s="12"/>
    </row>
    <row r="12" spans="2:43" ht="18" x14ac:dyDescent="0.35">
      <c r="B12" s="1"/>
      <c r="D12" s="1"/>
      <c r="E12" s="1"/>
      <c r="G12" s="1"/>
      <c r="H12" s="1"/>
      <c r="I12" s="1"/>
      <c r="J12" s="1"/>
      <c r="K12" s="1"/>
      <c r="L12" s="1"/>
      <c r="R12" s="1"/>
      <c r="T12" s="1"/>
      <c r="U12" s="1"/>
      <c r="W12" s="1"/>
      <c r="X12" s="1"/>
      <c r="Y12" s="1"/>
      <c r="Z12" s="1"/>
      <c r="AA12" s="1"/>
      <c r="AB12" s="1"/>
      <c r="AE12" s="1"/>
      <c r="AG12" s="1"/>
      <c r="AH12" s="1"/>
      <c r="AI12" s="5"/>
      <c r="AJ12" s="7"/>
      <c r="AK12" s="7"/>
      <c r="AL12" s="8"/>
      <c r="AM12" s="8"/>
      <c r="AN12" s="8"/>
      <c r="AO12" s="1"/>
      <c r="AP12" s="1"/>
      <c r="AQ12" s="12"/>
    </row>
    <row r="13" spans="2:43" ht="18" x14ac:dyDescent="0.35">
      <c r="B13" s="1"/>
      <c r="D13" s="1"/>
      <c r="E13" s="1"/>
      <c r="G13" s="1"/>
      <c r="H13" s="1"/>
      <c r="I13" s="1"/>
      <c r="J13" s="1"/>
      <c r="K13" s="1"/>
      <c r="L13" s="1"/>
      <c r="R13" s="1"/>
      <c r="T13" s="1"/>
      <c r="U13" s="1"/>
      <c r="W13" s="1"/>
      <c r="X13" s="1"/>
      <c r="Y13" s="1"/>
      <c r="Z13" s="1"/>
      <c r="AA13" s="1"/>
      <c r="AB13" s="1"/>
      <c r="AE13" s="1"/>
      <c r="AG13" s="1"/>
      <c r="AH13" s="1"/>
      <c r="AI13" s="5"/>
      <c r="AJ13" s="7"/>
      <c r="AK13" s="7"/>
      <c r="AL13" s="8"/>
      <c r="AM13" s="8"/>
      <c r="AN13" s="8"/>
      <c r="AO13" s="1"/>
      <c r="AP13" s="1"/>
      <c r="AQ13" s="12"/>
    </row>
    <row r="14" spans="2:43" ht="23.4" x14ac:dyDescent="0.45">
      <c r="B14" s="46"/>
      <c r="D14" s="1"/>
      <c r="E14" s="1"/>
      <c r="G14" s="1"/>
      <c r="H14" s="1"/>
      <c r="I14" s="1"/>
      <c r="J14" s="1"/>
      <c r="K14" s="1"/>
      <c r="L14" s="1"/>
      <c r="R14" s="1"/>
      <c r="T14" s="1"/>
      <c r="U14" s="1"/>
      <c r="W14" s="1"/>
      <c r="X14" s="1"/>
      <c r="Y14" s="1"/>
      <c r="Z14" s="1"/>
      <c r="AA14" s="1"/>
      <c r="AB14" s="1"/>
      <c r="AE14" s="1"/>
      <c r="AG14" s="1"/>
      <c r="AH14" s="1"/>
      <c r="AI14" s="5"/>
      <c r="AJ14" s="7"/>
      <c r="AK14" s="7"/>
      <c r="AL14" s="45"/>
      <c r="AM14" s="8"/>
      <c r="AN14" s="8"/>
      <c r="AO14" s="1"/>
      <c r="AP14" s="1"/>
      <c r="AQ14" s="12"/>
    </row>
    <row r="15" spans="2:43" ht="18" x14ac:dyDescent="0.35">
      <c r="B15" s="1"/>
      <c r="D15" s="1"/>
      <c r="E15" s="1"/>
      <c r="G15" s="1"/>
      <c r="H15" s="1"/>
      <c r="I15" s="1"/>
      <c r="J15" s="1"/>
      <c r="K15" s="1"/>
      <c r="L15" s="1"/>
      <c r="R15" s="1"/>
      <c r="T15" s="1"/>
      <c r="U15" s="1"/>
      <c r="W15" s="1"/>
      <c r="X15" s="1"/>
      <c r="Y15" s="1"/>
      <c r="Z15" s="1"/>
      <c r="AA15" s="1"/>
      <c r="AB15" s="1"/>
      <c r="AE15" s="1"/>
      <c r="AG15" s="1"/>
      <c r="AH15" s="1"/>
      <c r="AI15" s="5"/>
      <c r="AJ15" s="7"/>
      <c r="AK15" s="7"/>
      <c r="AL15" s="8"/>
      <c r="AM15" s="8"/>
      <c r="AN15" s="8"/>
      <c r="AO15" s="1"/>
      <c r="AP15" s="1"/>
      <c r="AQ15" s="12"/>
    </row>
    <row r="16" spans="2:43" x14ac:dyDescent="0.3">
      <c r="B16" s="1" t="s">
        <v>0</v>
      </c>
      <c r="D16" s="1"/>
      <c r="E16" s="1"/>
      <c r="G16" s="1"/>
      <c r="H16" s="1"/>
      <c r="I16" s="1"/>
      <c r="J16" s="1"/>
      <c r="K16" s="1"/>
      <c r="L16" s="1"/>
      <c r="R16" s="1" t="s">
        <v>10</v>
      </c>
      <c r="T16" s="1"/>
      <c r="U16" s="1"/>
      <c r="W16" s="1"/>
      <c r="X16" s="1"/>
      <c r="Y16" s="1"/>
      <c r="Z16" s="1"/>
      <c r="AA16" s="1"/>
      <c r="AB16" s="1"/>
      <c r="AG16" s="1"/>
      <c r="AH16" s="1"/>
      <c r="AI16" s="5"/>
    </row>
    <row r="17" spans="2:28" x14ac:dyDescent="0.3">
      <c r="B17" t="s">
        <v>194</v>
      </c>
      <c r="R17" t="s">
        <v>194</v>
      </c>
    </row>
    <row r="18" spans="2:28" x14ac:dyDescent="0.3">
      <c r="D18" s="1"/>
      <c r="E18" s="1"/>
      <c r="T18" s="1"/>
      <c r="U18" s="1"/>
    </row>
    <row r="19" spans="2:28" x14ac:dyDescent="0.3">
      <c r="R19" s="1"/>
      <c r="T19" s="1"/>
      <c r="U19" s="1"/>
      <c r="W19" s="1"/>
      <c r="X19" s="1"/>
      <c r="Y19" s="1"/>
      <c r="Z19" s="1"/>
      <c r="AA19" s="1"/>
      <c r="AB19" s="1"/>
    </row>
    <row r="20" spans="2:28" x14ac:dyDescent="0.3">
      <c r="B20" s="1"/>
      <c r="C20">
        <v>0</v>
      </c>
      <c r="D20" s="1"/>
      <c r="E20" s="1"/>
      <c r="G20" s="1"/>
      <c r="H20" s="1"/>
      <c r="I20" s="1"/>
      <c r="J20" s="1"/>
      <c r="K20" s="1"/>
      <c r="L20" s="1"/>
      <c r="R20" s="1"/>
      <c r="S20">
        <v>0</v>
      </c>
      <c r="T20" s="1"/>
      <c r="U20" s="1"/>
      <c r="W20" s="1"/>
      <c r="X20" s="1"/>
      <c r="Y20" s="1"/>
      <c r="Z20" s="1"/>
      <c r="AA20" s="1"/>
      <c r="AB20" s="1"/>
    </row>
    <row r="21" spans="2:28" x14ac:dyDescent="0.3">
      <c r="B21" t="s">
        <v>1</v>
      </c>
      <c r="C21" t="s">
        <v>2</v>
      </c>
      <c r="D21" t="s">
        <v>3</v>
      </c>
      <c r="E21" t="s">
        <v>4</v>
      </c>
      <c r="F21" t="s">
        <v>5</v>
      </c>
      <c r="G21" t="s">
        <v>6</v>
      </c>
      <c r="H21" t="s">
        <v>4</v>
      </c>
      <c r="I21" t="s">
        <v>7</v>
      </c>
      <c r="J21" t="s">
        <v>4</v>
      </c>
      <c r="K21" t="s">
        <v>8</v>
      </c>
      <c r="L21" t="s">
        <v>4</v>
      </c>
      <c r="R21" t="s">
        <v>1</v>
      </c>
      <c r="S21" t="s">
        <v>2</v>
      </c>
      <c r="T21" t="s">
        <v>3</v>
      </c>
      <c r="U21" t="s">
        <v>4</v>
      </c>
      <c r="V21" t="s">
        <v>5</v>
      </c>
      <c r="W21" t="s">
        <v>6</v>
      </c>
      <c r="X21" t="s">
        <v>4</v>
      </c>
      <c r="Y21" t="s">
        <v>7</v>
      </c>
      <c r="Z21" t="s">
        <v>4</v>
      </c>
      <c r="AA21" t="s">
        <v>8</v>
      </c>
      <c r="AB21" t="s">
        <v>4</v>
      </c>
    </row>
    <row r="22" spans="2:28" x14ac:dyDescent="0.3">
      <c r="B22" s="1">
        <v>7.9000000000000001E-2</v>
      </c>
      <c r="C22">
        <v>2000</v>
      </c>
      <c r="D22" s="1">
        <v>1.4286949999999999E-13</v>
      </c>
      <c r="E22" s="1">
        <v>2.6609989999999999E-12</v>
      </c>
      <c r="F22">
        <v>11</v>
      </c>
      <c r="G22" s="1">
        <v>5.4999999999999997E-3</v>
      </c>
      <c r="H22" s="1">
        <v>8.0454869999999998E-2</v>
      </c>
      <c r="I22" s="1">
        <v>1.791136E-3</v>
      </c>
      <c r="J22" s="1">
        <v>1.8826269999999999E-4</v>
      </c>
      <c r="K22" s="1">
        <v>1.0331409999999999E-2</v>
      </c>
      <c r="L22" s="1">
        <v>1.408329E-3</v>
      </c>
      <c r="R22" s="1">
        <v>7.9000000000000001E-2</v>
      </c>
      <c r="S22">
        <v>1000</v>
      </c>
      <c r="T22" s="1">
        <v>1.600523E-13</v>
      </c>
      <c r="U22" s="1">
        <v>2.7427339999999999E-12</v>
      </c>
      <c r="V22">
        <v>7</v>
      </c>
      <c r="W22" s="1">
        <v>7.0000000000000001E-3</v>
      </c>
      <c r="X22" s="1">
        <v>9.4657069999999996E-2</v>
      </c>
      <c r="Y22" s="1">
        <v>9.9671470000000009E-3</v>
      </c>
      <c r="Z22" s="1">
        <v>5.2729679999999996E-4</v>
      </c>
      <c r="AA22" s="1">
        <v>1.0460570000000001E-2</v>
      </c>
      <c r="AB22" s="1">
        <v>1.413648E-3</v>
      </c>
    </row>
    <row r="24" spans="2:28" x14ac:dyDescent="0.3">
      <c r="B24" t="s">
        <v>9</v>
      </c>
      <c r="R24" t="s">
        <v>9</v>
      </c>
    </row>
    <row r="26" spans="2:28" x14ac:dyDescent="0.3">
      <c r="R26" s="1"/>
      <c r="T26" s="1"/>
      <c r="U26" s="1"/>
      <c r="W26" s="1"/>
      <c r="X26" s="1"/>
      <c r="Y26" s="1"/>
      <c r="Z26" s="1"/>
      <c r="AA26" s="1"/>
      <c r="AB26" s="1"/>
    </row>
    <row r="27" spans="2:28" x14ac:dyDescent="0.3">
      <c r="B27" s="1"/>
      <c r="C27">
        <v>0</v>
      </c>
      <c r="D27" s="1"/>
      <c r="E27" s="1"/>
      <c r="G27" s="1"/>
      <c r="H27" s="1"/>
      <c r="I27" s="1"/>
      <c r="J27" s="1"/>
      <c r="K27" s="1"/>
      <c r="L27" s="1"/>
      <c r="R27" s="1"/>
      <c r="S27">
        <v>0</v>
      </c>
      <c r="T27" s="1"/>
      <c r="U27" s="1"/>
      <c r="W27" s="1"/>
      <c r="X27" s="1"/>
      <c r="Y27" s="1"/>
      <c r="Z27" s="1"/>
      <c r="AA27" s="1"/>
      <c r="AB27" s="1"/>
    </row>
    <row r="28" spans="2:28" x14ac:dyDescent="0.3">
      <c r="B28" t="s">
        <v>1</v>
      </c>
      <c r="C28" t="s">
        <v>2</v>
      </c>
      <c r="D28" t="s">
        <v>3</v>
      </c>
      <c r="E28" t="s">
        <v>4</v>
      </c>
      <c r="F28" t="s">
        <v>5</v>
      </c>
      <c r="G28" t="s">
        <v>6</v>
      </c>
      <c r="H28" t="s">
        <v>4</v>
      </c>
      <c r="I28" t="s">
        <v>7</v>
      </c>
      <c r="J28" t="s">
        <v>4</v>
      </c>
      <c r="K28" t="s">
        <v>8</v>
      </c>
      <c r="L28" t="s">
        <v>4</v>
      </c>
      <c r="R28" t="s">
        <v>1</v>
      </c>
      <c r="S28" t="s">
        <v>2</v>
      </c>
      <c r="T28" t="s">
        <v>3</v>
      </c>
      <c r="U28" t="s">
        <v>4</v>
      </c>
      <c r="V28" t="s">
        <v>5</v>
      </c>
      <c r="W28" t="s">
        <v>6</v>
      </c>
      <c r="X28" t="s">
        <v>4</v>
      </c>
      <c r="Y28" t="s">
        <v>7</v>
      </c>
      <c r="Z28" t="s">
        <v>4</v>
      </c>
      <c r="AA28" t="s">
        <v>8</v>
      </c>
      <c r="AB28" t="s">
        <v>4</v>
      </c>
    </row>
    <row r="29" spans="2:28" x14ac:dyDescent="0.3">
      <c r="B29" s="1">
        <v>7.9000000000000001E-2</v>
      </c>
      <c r="C29">
        <v>2000</v>
      </c>
      <c r="D29" s="1">
        <v>1.8207199999999999E-13</v>
      </c>
      <c r="E29" s="1">
        <v>3.3010099999999999E-12</v>
      </c>
      <c r="F29">
        <v>23</v>
      </c>
      <c r="G29" s="1">
        <v>1.15E-2</v>
      </c>
      <c r="H29" s="1">
        <v>0.1156479</v>
      </c>
      <c r="I29" s="1">
        <v>1.7908589999999999E-3</v>
      </c>
      <c r="J29" s="1">
        <v>1.8464490000000001E-4</v>
      </c>
      <c r="K29" s="1">
        <v>1.0254299999999999E-2</v>
      </c>
      <c r="L29" s="1">
        <v>1.4777799999999999E-3</v>
      </c>
      <c r="R29" s="1">
        <v>7.9000000000000001E-2</v>
      </c>
      <c r="S29">
        <v>2000</v>
      </c>
      <c r="T29" s="1">
        <v>3.2043260000000002E-13</v>
      </c>
      <c r="U29" s="1">
        <v>3.4431370000000001E-12</v>
      </c>
      <c r="V29">
        <v>25</v>
      </c>
      <c r="W29" s="1">
        <v>1.2500000000000001E-2</v>
      </c>
      <c r="X29" s="1">
        <v>0.1111302</v>
      </c>
      <c r="Y29" s="1">
        <v>9.8528859999999999E-3</v>
      </c>
      <c r="Z29" s="1">
        <v>5.4766150000000002E-4</v>
      </c>
      <c r="AA29" s="1">
        <v>1.0699780000000001E-2</v>
      </c>
      <c r="AB29" s="1">
        <v>1.5622139999999999E-3</v>
      </c>
    </row>
    <row r="31" spans="2:28" x14ac:dyDescent="0.3">
      <c r="B31" t="s">
        <v>9</v>
      </c>
      <c r="R31" t="s">
        <v>9</v>
      </c>
    </row>
    <row r="33" spans="2:28" x14ac:dyDescent="0.3">
      <c r="R33" s="1"/>
      <c r="T33" s="1"/>
      <c r="U33" s="1"/>
      <c r="W33" s="1"/>
      <c r="X33" s="1"/>
      <c r="Y33" s="1"/>
      <c r="Z33" s="1"/>
      <c r="AA33" s="1"/>
      <c r="AB33" s="1"/>
    </row>
    <row r="34" spans="2:28" x14ac:dyDescent="0.3">
      <c r="B34" s="1"/>
      <c r="C34">
        <v>0</v>
      </c>
      <c r="D34" s="1"/>
      <c r="E34" s="1"/>
      <c r="G34" s="1"/>
      <c r="H34" s="1"/>
      <c r="I34" s="1"/>
      <c r="J34" s="1"/>
      <c r="K34" s="1"/>
      <c r="L34" s="1"/>
      <c r="R34" s="1"/>
      <c r="S34">
        <v>0</v>
      </c>
      <c r="T34" s="1"/>
      <c r="U34" s="1"/>
      <c r="W34" s="1"/>
      <c r="X34" s="1"/>
      <c r="Y34" s="1"/>
      <c r="Z34" s="1"/>
      <c r="AA34" s="1"/>
      <c r="AB34" s="1"/>
    </row>
    <row r="35" spans="2:28" x14ac:dyDescent="0.3">
      <c r="B35" t="s">
        <v>1</v>
      </c>
      <c r="C35" t="s">
        <v>2</v>
      </c>
      <c r="D35" t="s">
        <v>3</v>
      </c>
      <c r="E35" t="s">
        <v>4</v>
      </c>
      <c r="F35" t="s">
        <v>5</v>
      </c>
      <c r="G35" t="s">
        <v>6</v>
      </c>
      <c r="H35" t="s">
        <v>4</v>
      </c>
      <c r="I35" t="s">
        <v>7</v>
      </c>
      <c r="J35" t="s">
        <v>4</v>
      </c>
      <c r="K35" t="s">
        <v>8</v>
      </c>
      <c r="L35" t="s">
        <v>4</v>
      </c>
      <c r="R35" t="s">
        <v>1</v>
      </c>
      <c r="S35" t="s">
        <v>2</v>
      </c>
      <c r="T35" t="s">
        <v>3</v>
      </c>
      <c r="U35" t="s">
        <v>4</v>
      </c>
      <c r="V35" t="s">
        <v>5</v>
      </c>
      <c r="W35" t="s">
        <v>6</v>
      </c>
      <c r="X35" t="s">
        <v>4</v>
      </c>
      <c r="Y35" t="s">
        <v>7</v>
      </c>
      <c r="Z35" t="s">
        <v>4</v>
      </c>
      <c r="AA35" t="s">
        <v>8</v>
      </c>
      <c r="AB35" t="s">
        <v>4</v>
      </c>
    </row>
    <row r="36" spans="2:28" x14ac:dyDescent="0.3">
      <c r="B36" s="1">
        <v>7.9000000000000001E-2</v>
      </c>
      <c r="C36">
        <v>2000</v>
      </c>
      <c r="D36" s="1">
        <v>1.144324E-13</v>
      </c>
      <c r="E36" s="1">
        <v>2.9659079999999999E-12</v>
      </c>
      <c r="F36">
        <v>16</v>
      </c>
      <c r="G36" s="1">
        <v>8.0000000000000002E-3</v>
      </c>
      <c r="H36" s="1">
        <v>0.1046015</v>
      </c>
      <c r="I36" s="1">
        <v>1.717831E-3</v>
      </c>
      <c r="J36" s="1">
        <v>1.619336E-4</v>
      </c>
      <c r="K36" s="1">
        <v>1.086228E-2</v>
      </c>
      <c r="L36" s="1">
        <v>1.649909E-3</v>
      </c>
      <c r="R36" s="1">
        <v>7.9000000000000001E-2</v>
      </c>
      <c r="S36">
        <v>2000</v>
      </c>
      <c r="T36" s="1">
        <v>2.2733059999999999E-13</v>
      </c>
      <c r="U36" s="1">
        <v>3.4791470000000001E-12</v>
      </c>
      <c r="V36">
        <v>17</v>
      </c>
      <c r="W36" s="1">
        <v>8.5000000000000006E-3</v>
      </c>
      <c r="X36" s="1">
        <v>0.10214189999999999</v>
      </c>
      <c r="Y36" s="1">
        <v>8.0889829999999992E-3</v>
      </c>
      <c r="Z36" s="1">
        <v>4.8861969999999995E-4</v>
      </c>
      <c r="AA36" s="1">
        <v>1.080739E-2</v>
      </c>
      <c r="AB36" s="1">
        <v>1.6728719999999999E-3</v>
      </c>
    </row>
    <row r="37" spans="2:28" x14ac:dyDescent="0.3">
      <c r="B37" s="1"/>
      <c r="D37" s="1"/>
      <c r="E37" s="1"/>
      <c r="G37" s="1"/>
      <c r="H37" s="1"/>
      <c r="I37" s="1"/>
      <c r="J37" s="1"/>
      <c r="K37" s="1"/>
      <c r="L37" s="1"/>
      <c r="R37" s="1"/>
      <c r="T37" s="1"/>
      <c r="U37" s="1"/>
      <c r="W37" s="1"/>
      <c r="X37" s="1"/>
      <c r="Y37" s="1"/>
      <c r="Z37" s="1"/>
      <c r="AA37" s="1"/>
      <c r="AB37" s="1"/>
    </row>
    <row r="38" spans="2:28" x14ac:dyDescent="0.3">
      <c r="B38" t="s">
        <v>9</v>
      </c>
      <c r="R38" t="s">
        <v>9</v>
      </c>
    </row>
    <row r="39" spans="2:28" x14ac:dyDescent="0.3">
      <c r="R39" s="1"/>
      <c r="T39" s="1"/>
      <c r="U39" s="1"/>
      <c r="W39" s="1"/>
      <c r="X39" s="1"/>
      <c r="Y39" s="1"/>
      <c r="Z39" s="1"/>
      <c r="AA39" s="1"/>
      <c r="AB39" s="1"/>
    </row>
    <row r="41" spans="2:28" x14ac:dyDescent="0.3">
      <c r="B41" s="1"/>
      <c r="C41">
        <v>0</v>
      </c>
      <c r="D41" s="1"/>
      <c r="E41" s="1"/>
      <c r="G41" s="1"/>
      <c r="H41" s="1"/>
      <c r="I41" s="1"/>
      <c r="J41" s="1"/>
      <c r="K41" s="1"/>
      <c r="L41" s="1"/>
      <c r="R41" s="1"/>
      <c r="S41">
        <v>0</v>
      </c>
      <c r="T41" s="1"/>
      <c r="U41" s="1"/>
      <c r="W41" s="1"/>
      <c r="X41" s="1"/>
      <c r="Y41" s="1"/>
      <c r="Z41" s="1"/>
      <c r="AA41" s="1"/>
      <c r="AB41" s="1"/>
    </row>
    <row r="42" spans="2:28" x14ac:dyDescent="0.3">
      <c r="B42" t="s">
        <v>1</v>
      </c>
      <c r="C42" t="s">
        <v>2</v>
      </c>
      <c r="D42" t="s">
        <v>3</v>
      </c>
      <c r="E42" t="s">
        <v>4</v>
      </c>
      <c r="F42" t="s">
        <v>5</v>
      </c>
      <c r="G42" t="s">
        <v>6</v>
      </c>
      <c r="H42" t="s">
        <v>4</v>
      </c>
      <c r="I42" t="s">
        <v>7</v>
      </c>
      <c r="J42" t="s">
        <v>4</v>
      </c>
      <c r="K42" t="s">
        <v>8</v>
      </c>
      <c r="L42" t="s">
        <v>4</v>
      </c>
      <c r="R42" t="s">
        <v>1</v>
      </c>
      <c r="S42" t="s">
        <v>2</v>
      </c>
      <c r="T42" t="s">
        <v>3</v>
      </c>
      <c r="U42" t="s">
        <v>4</v>
      </c>
      <c r="V42" t="s">
        <v>5</v>
      </c>
      <c r="W42" t="s">
        <v>6</v>
      </c>
      <c r="X42" t="s">
        <v>4</v>
      </c>
      <c r="Y42" t="s">
        <v>7</v>
      </c>
      <c r="Z42" t="s">
        <v>4</v>
      </c>
      <c r="AA42" t="s">
        <v>8</v>
      </c>
      <c r="AB42" t="s">
        <v>4</v>
      </c>
    </row>
    <row r="43" spans="2:28" x14ac:dyDescent="0.3">
      <c r="B43" s="1">
        <v>7.9000000000000001E-2</v>
      </c>
      <c r="C43">
        <v>2000</v>
      </c>
      <c r="D43" s="1">
        <v>2.66681E-13</v>
      </c>
      <c r="E43" s="1">
        <v>3.1300559999999998E-12</v>
      </c>
      <c r="F43">
        <v>13</v>
      </c>
      <c r="G43" s="1">
        <v>6.4999999999999997E-3</v>
      </c>
      <c r="H43" s="1">
        <v>8.0380220000000002E-2</v>
      </c>
      <c r="I43" s="1">
        <v>1.719497E-3</v>
      </c>
      <c r="J43" s="1">
        <v>2.3054029999999999E-4</v>
      </c>
      <c r="K43" s="1">
        <v>1.043198E-2</v>
      </c>
      <c r="L43" s="1">
        <v>1.6472030000000001E-3</v>
      </c>
      <c r="R43" s="1">
        <v>7.9000000000000001E-2</v>
      </c>
      <c r="S43">
        <v>2000</v>
      </c>
      <c r="T43" s="1">
        <v>2.3465970000000001E-13</v>
      </c>
      <c r="U43" s="1">
        <v>3.091186E-12</v>
      </c>
      <c r="V43">
        <v>19</v>
      </c>
      <c r="W43" s="1">
        <v>9.4999999999999998E-3</v>
      </c>
      <c r="X43" s="1">
        <v>0.1068431</v>
      </c>
      <c r="Y43" s="1">
        <v>7.9469550000000003E-3</v>
      </c>
      <c r="Z43" s="1">
        <v>4.9838279999999996E-4</v>
      </c>
      <c r="AA43" s="1">
        <v>1.0299289999999999E-2</v>
      </c>
      <c r="AB43" s="1">
        <v>1.5140049999999999E-3</v>
      </c>
    </row>
    <row r="44" spans="2:28" x14ac:dyDescent="0.3">
      <c r="B44" s="1"/>
      <c r="D44" s="1"/>
      <c r="E44" s="1"/>
      <c r="G44" s="1"/>
      <c r="H44" s="1"/>
      <c r="I44" s="1"/>
      <c r="J44" s="1"/>
      <c r="K44" s="1"/>
      <c r="L44" s="1"/>
      <c r="R44" s="1"/>
      <c r="T44" s="1"/>
      <c r="U44" s="1"/>
      <c r="W44" s="1"/>
      <c r="X44" s="1"/>
      <c r="Y44" s="1"/>
      <c r="Z44" s="1"/>
      <c r="AA44" s="1"/>
      <c r="AB44" s="1"/>
    </row>
    <row r="45" spans="2:28" x14ac:dyDescent="0.3">
      <c r="R45" t="s">
        <v>9</v>
      </c>
    </row>
    <row r="46" spans="2:28" x14ac:dyDescent="0.3">
      <c r="R46" s="1"/>
      <c r="T46" s="1"/>
      <c r="U46" s="1"/>
      <c r="W46" s="1"/>
      <c r="X46" s="1"/>
      <c r="Y46" s="1"/>
      <c r="Z46" s="1"/>
      <c r="AA46" s="1"/>
      <c r="AB46" s="1"/>
    </row>
    <row r="48" spans="2:28" x14ac:dyDescent="0.3">
      <c r="B48" s="1"/>
      <c r="D48" s="1"/>
      <c r="E48" s="1"/>
      <c r="G48" s="1"/>
      <c r="H48" s="1"/>
      <c r="I48" s="1"/>
      <c r="J48" s="1"/>
      <c r="K48" s="1"/>
      <c r="L48" s="1"/>
      <c r="R48" s="1"/>
      <c r="S48">
        <v>0</v>
      </c>
      <c r="T48" s="1"/>
      <c r="U48" s="1"/>
      <c r="W48" s="1"/>
      <c r="X48" s="1"/>
      <c r="Y48" s="1"/>
      <c r="Z48" s="1"/>
      <c r="AA48" s="1"/>
      <c r="AB48" s="1"/>
    </row>
    <row r="49" spans="2:28" x14ac:dyDescent="0.3">
      <c r="R49" t="s">
        <v>1</v>
      </c>
      <c r="S49" t="s">
        <v>2</v>
      </c>
      <c r="T49" t="s">
        <v>3</v>
      </c>
      <c r="U49" t="s">
        <v>4</v>
      </c>
      <c r="V49" t="s">
        <v>5</v>
      </c>
      <c r="W49" t="s">
        <v>6</v>
      </c>
      <c r="X49" t="s">
        <v>4</v>
      </c>
      <c r="Y49" t="s">
        <v>7</v>
      </c>
      <c r="Z49" t="s">
        <v>4</v>
      </c>
      <c r="AA49" t="s">
        <v>8</v>
      </c>
      <c r="AB49" t="s">
        <v>4</v>
      </c>
    </row>
    <row r="50" spans="2:28" x14ac:dyDescent="0.3">
      <c r="B50" s="1"/>
      <c r="D50" s="1"/>
      <c r="E50" s="1"/>
      <c r="G50" s="1"/>
      <c r="H50" s="1"/>
      <c r="I50" s="1"/>
      <c r="J50" s="1"/>
      <c r="K50" s="1"/>
      <c r="L50" s="1"/>
      <c r="R50" s="1">
        <v>7.9000000000000001E-2</v>
      </c>
      <c r="S50">
        <v>1000</v>
      </c>
      <c r="T50" s="1">
        <v>1.494941E-13</v>
      </c>
      <c r="U50" s="1">
        <v>2.5983599999999998E-12</v>
      </c>
      <c r="V50">
        <v>11</v>
      </c>
      <c r="W50" s="1">
        <v>1.09671E-2</v>
      </c>
      <c r="X50" s="1">
        <v>0.1443526</v>
      </c>
      <c r="Y50" s="1">
        <v>7.8970470000000008E-3</v>
      </c>
      <c r="Z50" s="1">
        <v>4.635183E-4</v>
      </c>
      <c r="AA50" s="1">
        <v>1.005317E-2</v>
      </c>
      <c r="AB50" s="1">
        <v>1.5159469999999999E-3</v>
      </c>
    </row>
    <row r="51" spans="2:28" x14ac:dyDescent="0.3">
      <c r="B51" s="1"/>
      <c r="D51" s="1"/>
      <c r="E51" s="1"/>
      <c r="G51" s="1"/>
      <c r="H51" s="1"/>
      <c r="I51" s="1"/>
      <c r="J51" s="1"/>
      <c r="K51" s="1"/>
      <c r="L51" s="1"/>
      <c r="R51" s="1"/>
      <c r="T51" s="1"/>
      <c r="U51" s="1"/>
      <c r="W51" s="1"/>
      <c r="X51" s="1"/>
      <c r="Y51" s="1"/>
      <c r="Z51" s="1"/>
      <c r="AA51" s="1"/>
      <c r="AB51" s="1"/>
    </row>
    <row r="52" spans="2:28" x14ac:dyDescent="0.3">
      <c r="R52" t="s">
        <v>9</v>
      </c>
    </row>
    <row r="55" spans="2:28" x14ac:dyDescent="0.3">
      <c r="B55" s="1"/>
      <c r="D55" s="1"/>
      <c r="E55" s="1"/>
      <c r="G55" s="1"/>
      <c r="H55" s="1"/>
      <c r="I55" s="1"/>
      <c r="J55" s="1"/>
      <c r="K55" s="1"/>
      <c r="L55" s="1"/>
      <c r="R55" s="1"/>
      <c r="T55" s="1"/>
      <c r="U55" s="1"/>
      <c r="W55" s="1"/>
      <c r="X55" s="1"/>
      <c r="Y55" s="1"/>
      <c r="Z55" s="1"/>
      <c r="AA55" s="1"/>
      <c r="AB55" s="1"/>
    </row>
    <row r="57" spans="2:28" x14ac:dyDescent="0.3">
      <c r="B57" s="1"/>
      <c r="D57" s="1"/>
      <c r="E57" s="1"/>
      <c r="G57" s="1"/>
      <c r="H57" s="1"/>
      <c r="I57" s="1"/>
      <c r="J57" s="1"/>
      <c r="K57" s="1"/>
      <c r="L57" s="1"/>
      <c r="R57" s="1"/>
      <c r="T57" s="1"/>
      <c r="U57" s="1"/>
      <c r="W57" s="1"/>
      <c r="X57" s="1"/>
      <c r="Y57" s="1"/>
      <c r="Z57" s="1"/>
      <c r="AA57" s="1"/>
      <c r="AB57" s="1"/>
    </row>
    <row r="58" spans="2:28" x14ac:dyDescent="0.3">
      <c r="B58" s="1"/>
      <c r="D58" s="1"/>
      <c r="E58" s="1"/>
      <c r="G58" s="1"/>
      <c r="H58" s="1"/>
      <c r="I58" s="1"/>
      <c r="J58" s="1"/>
      <c r="K58" s="1"/>
      <c r="L58" s="1"/>
      <c r="R58" s="1"/>
      <c r="T58" s="1"/>
      <c r="U58" s="1"/>
      <c r="W58" s="1"/>
      <c r="X58" s="1"/>
      <c r="Y58" s="1"/>
      <c r="Z58" s="1"/>
      <c r="AA58" s="1"/>
      <c r="AB58" s="1"/>
    </row>
    <row r="62" spans="2:28" x14ac:dyDescent="0.3">
      <c r="B62" s="1"/>
      <c r="D62" s="1"/>
      <c r="E62" s="1"/>
      <c r="G62" s="1"/>
      <c r="H62" s="1"/>
      <c r="I62" s="1"/>
      <c r="J62" s="1"/>
      <c r="K62" s="1"/>
      <c r="L62" s="1"/>
      <c r="R62" s="1"/>
      <c r="T62" s="1"/>
      <c r="U62" s="1"/>
      <c r="W62" s="1"/>
      <c r="X62" s="1"/>
      <c r="Y62" s="1"/>
      <c r="Z62" s="1"/>
      <c r="AA62" s="1"/>
      <c r="AB62" s="1"/>
    </row>
    <row r="64" spans="2:28" x14ac:dyDescent="0.3">
      <c r="B64" s="1"/>
      <c r="D64" s="1"/>
      <c r="E64" s="1"/>
      <c r="G64" s="1"/>
      <c r="H64" s="1"/>
      <c r="I64" s="1"/>
      <c r="J64" s="1"/>
      <c r="K64" s="1"/>
      <c r="L64" s="1"/>
      <c r="R64" s="1"/>
      <c r="T64" s="1"/>
      <c r="U64" s="1"/>
      <c r="W64" s="1"/>
      <c r="X64" s="1"/>
      <c r="Y64" s="1"/>
      <c r="Z64" s="1"/>
      <c r="AA64" s="1"/>
      <c r="AB64" s="1"/>
    </row>
    <row r="65" spans="2:28" x14ac:dyDescent="0.3">
      <c r="B65" s="1"/>
      <c r="D65" s="1"/>
      <c r="E65" s="1"/>
      <c r="G65" s="1"/>
      <c r="H65" s="1"/>
      <c r="I65" s="1"/>
      <c r="J65" s="1"/>
      <c r="K65" s="1"/>
      <c r="L65" s="1"/>
      <c r="R65" s="1"/>
      <c r="T65" s="1"/>
      <c r="U65" s="1"/>
      <c r="W65" s="1"/>
      <c r="X65" s="1"/>
      <c r="Y65" s="1"/>
      <c r="Z65" s="1"/>
      <c r="AA65" s="1"/>
      <c r="AB65" s="1"/>
    </row>
    <row r="69" spans="2:28" x14ac:dyDescent="0.3">
      <c r="B69" s="1"/>
      <c r="D69" s="1"/>
      <c r="E69" s="1"/>
      <c r="G69" s="1"/>
      <c r="H69" s="1"/>
      <c r="I69" s="1"/>
      <c r="J69" s="1"/>
      <c r="K69" s="1"/>
      <c r="L69" s="1"/>
      <c r="R69" s="1"/>
      <c r="T69" s="1"/>
      <c r="U69" s="1"/>
      <c r="W69" s="1"/>
      <c r="X69" s="1"/>
      <c r="Y69" s="1"/>
      <c r="Z69" s="1"/>
      <c r="AA69" s="1"/>
      <c r="AB69" s="1"/>
    </row>
    <row r="71" spans="2:28" x14ac:dyDescent="0.3">
      <c r="B71" s="1"/>
      <c r="D71" s="1"/>
      <c r="E71" s="1"/>
      <c r="G71" s="1"/>
      <c r="H71" s="1"/>
      <c r="I71" s="1"/>
      <c r="J71" s="1"/>
      <c r="K71" s="1"/>
      <c r="L71" s="1"/>
      <c r="R71" s="1"/>
      <c r="T71" s="1"/>
      <c r="U71" s="1"/>
      <c r="W71" s="1"/>
      <c r="X71" s="1"/>
      <c r="Y71" s="1"/>
      <c r="Z71" s="1"/>
      <c r="AA71" s="1"/>
      <c r="AB71" s="1"/>
    </row>
    <row r="72" spans="2:28" x14ac:dyDescent="0.3">
      <c r="B72" s="1"/>
      <c r="D72" s="1"/>
      <c r="E72" s="1"/>
      <c r="G72" s="1"/>
      <c r="H72" s="1"/>
      <c r="I72" s="1"/>
      <c r="J72" s="1"/>
      <c r="K72" s="1"/>
      <c r="L72" s="1"/>
      <c r="R72" s="1"/>
      <c r="T72" s="1"/>
      <c r="U72" s="1"/>
      <c r="W72" s="1"/>
      <c r="X72" s="1"/>
      <c r="Y72" s="1"/>
      <c r="Z72" s="1"/>
      <c r="AA72" s="1"/>
      <c r="AB72" s="1"/>
    </row>
    <row r="76" spans="2:28" x14ac:dyDescent="0.3">
      <c r="B76" s="1"/>
      <c r="D76" s="1"/>
      <c r="E76" s="1"/>
      <c r="G76" s="1"/>
      <c r="H76" s="1"/>
      <c r="I76" s="1"/>
      <c r="J76" s="1"/>
      <c r="K76" s="1"/>
      <c r="L76" s="1"/>
      <c r="R76" s="1"/>
      <c r="T76" s="1"/>
      <c r="U76" s="1"/>
      <c r="W76" s="1"/>
      <c r="X76" s="1"/>
      <c r="Y76" s="1"/>
      <c r="Z76" s="1"/>
      <c r="AA76" s="1"/>
      <c r="AB76" s="1"/>
    </row>
    <row r="78" spans="2:28" x14ac:dyDescent="0.3">
      <c r="B78" s="1"/>
      <c r="D78" s="1"/>
      <c r="E78" s="1"/>
      <c r="G78" s="1"/>
      <c r="H78" s="1"/>
      <c r="I78" s="1"/>
      <c r="J78" s="1"/>
      <c r="K78" s="1"/>
      <c r="L78" s="1"/>
      <c r="R78" s="1"/>
      <c r="T78" s="1"/>
      <c r="U78" s="1"/>
      <c r="W78" s="1"/>
      <c r="X78" s="1"/>
      <c r="Y78" s="1"/>
      <c r="Z78" s="1"/>
      <c r="AA78" s="1"/>
      <c r="AB78" s="1"/>
    </row>
    <row r="79" spans="2:28" x14ac:dyDescent="0.3">
      <c r="B79" s="1"/>
      <c r="D79" s="1"/>
      <c r="E79" s="1"/>
      <c r="G79" s="1"/>
      <c r="H79" s="1"/>
      <c r="I79" s="1"/>
      <c r="J79" s="1"/>
      <c r="K79" s="1"/>
      <c r="L79" s="1"/>
      <c r="R79" s="1"/>
      <c r="T79" s="1"/>
      <c r="U79" s="1"/>
      <c r="W79" s="1"/>
      <c r="X79" s="1"/>
      <c r="Y79" s="1"/>
      <c r="Z79" s="1"/>
      <c r="AA79" s="1"/>
      <c r="AB79" s="1"/>
    </row>
    <row r="83" spans="2:28" x14ac:dyDescent="0.3">
      <c r="R83" s="1"/>
      <c r="T83" s="1"/>
      <c r="U83" s="1"/>
      <c r="W83" s="1"/>
      <c r="X83" s="1"/>
      <c r="Y83" s="1"/>
      <c r="Z83" s="1"/>
      <c r="AA83" s="1"/>
      <c r="AB83" s="1"/>
    </row>
    <row r="85" spans="2:28" x14ac:dyDescent="0.3">
      <c r="B85" s="1"/>
      <c r="D85" s="1"/>
      <c r="E85" s="1"/>
      <c r="G85" s="1"/>
      <c r="H85" s="1"/>
      <c r="I85" s="1"/>
      <c r="J85" s="1"/>
      <c r="K85" s="1"/>
      <c r="L85" s="1"/>
      <c r="R85" s="1"/>
      <c r="T85" s="1"/>
      <c r="U85" s="1"/>
      <c r="W85" s="1"/>
      <c r="X85" s="1"/>
      <c r="Y85" s="1"/>
      <c r="Z85" s="1"/>
      <c r="AA85" s="1"/>
      <c r="AB85" s="1"/>
    </row>
    <row r="86" spans="2:28" x14ac:dyDescent="0.3">
      <c r="R86" s="1"/>
      <c r="T86" s="1"/>
      <c r="U86" s="1"/>
      <c r="W86" s="1"/>
      <c r="X86" s="1"/>
      <c r="Y86" s="1"/>
      <c r="Z86" s="1"/>
      <c r="AA86" s="1"/>
      <c r="AB86" s="1"/>
    </row>
    <row r="88" spans="2:28" x14ac:dyDescent="0.3">
      <c r="B88" s="1"/>
      <c r="D88" s="1"/>
      <c r="E88" s="1"/>
      <c r="G88" s="1"/>
      <c r="H88" s="1"/>
      <c r="I88" s="1"/>
      <c r="J88" s="1"/>
      <c r="K88" s="1"/>
      <c r="L88" s="1"/>
    </row>
    <row r="89" spans="2:28" x14ac:dyDescent="0.3">
      <c r="B89" s="1"/>
      <c r="D89" s="1"/>
      <c r="E89" s="1"/>
      <c r="G89" s="1"/>
      <c r="H89" s="1"/>
      <c r="I89" s="1"/>
      <c r="J89" s="1"/>
      <c r="K89" s="1"/>
      <c r="L89" s="1"/>
    </row>
    <row r="92" spans="2:28" x14ac:dyDescent="0.3">
      <c r="B92" s="1"/>
      <c r="D92" s="1"/>
      <c r="E92" s="1"/>
      <c r="G92" s="1"/>
      <c r="H92" s="1"/>
      <c r="I92" s="1"/>
      <c r="J92" s="1"/>
      <c r="K92" s="1"/>
      <c r="L92" s="1"/>
    </row>
    <row r="93" spans="2:28" x14ac:dyDescent="0.3">
      <c r="R93" s="1"/>
      <c r="T93" s="1"/>
      <c r="U93" s="1"/>
      <c r="W93" s="1"/>
      <c r="X93" s="1"/>
      <c r="Y93" s="1"/>
      <c r="Z93" s="1"/>
      <c r="AA93" s="1"/>
      <c r="AB93" s="1"/>
    </row>
    <row r="95" spans="2:28" x14ac:dyDescent="0.3">
      <c r="B95" s="1"/>
      <c r="D95" s="1"/>
      <c r="E95" s="1"/>
      <c r="G95" s="1"/>
      <c r="H95" s="1"/>
      <c r="I95" s="1"/>
      <c r="J95" s="1"/>
      <c r="K95" s="1"/>
      <c r="L95" s="1"/>
      <c r="R95" s="1"/>
      <c r="T95" s="1"/>
      <c r="U95" s="1"/>
      <c r="W95" s="1"/>
      <c r="X95" s="1"/>
      <c r="Y95" s="1"/>
      <c r="Z95" s="1"/>
      <c r="AA95" s="1"/>
      <c r="AB95" s="1"/>
    </row>
    <row r="96" spans="2:28" x14ac:dyDescent="0.3">
      <c r="B96" s="1"/>
      <c r="D96" s="1"/>
      <c r="E96" s="1"/>
      <c r="G96" s="1"/>
      <c r="H96" s="1"/>
      <c r="I96" s="1"/>
      <c r="J96" s="1"/>
      <c r="K96" s="1"/>
      <c r="L96" s="1"/>
    </row>
    <row r="99" spans="2:28" x14ac:dyDescent="0.3">
      <c r="B99" s="1"/>
      <c r="D99" s="1"/>
      <c r="E99" s="1"/>
      <c r="G99" s="1"/>
      <c r="H99" s="1"/>
      <c r="I99" s="1"/>
      <c r="J99" s="1"/>
      <c r="K99" s="1"/>
      <c r="L99" s="1"/>
    </row>
    <row r="100" spans="2:28" x14ac:dyDescent="0.3">
      <c r="R100" s="1"/>
      <c r="T100" s="1"/>
      <c r="U100" s="1"/>
      <c r="W100" s="1"/>
      <c r="X100" s="1"/>
      <c r="Y100" s="1"/>
      <c r="Z100" s="1"/>
      <c r="AA100" s="1"/>
      <c r="AB100" s="1"/>
    </row>
    <row r="102" spans="2:28" x14ac:dyDescent="0.3">
      <c r="B102" s="1"/>
      <c r="D102" s="1"/>
      <c r="E102" s="1"/>
      <c r="G102" s="1"/>
      <c r="H102" s="1"/>
      <c r="I102" s="1"/>
      <c r="J102" s="1"/>
      <c r="K102" s="1"/>
      <c r="L102" s="1"/>
      <c r="R102" s="1"/>
      <c r="T102" s="1"/>
      <c r="U102" s="1"/>
      <c r="W102" s="1"/>
      <c r="X102" s="1"/>
      <c r="Y102" s="1"/>
      <c r="Z102" s="1"/>
      <c r="AA102" s="1"/>
      <c r="AB102" s="1"/>
    </row>
    <row r="103" spans="2:28" x14ac:dyDescent="0.3">
      <c r="B103" s="1"/>
      <c r="D103" s="1"/>
      <c r="E103" s="1"/>
      <c r="G103" s="1"/>
      <c r="H103" s="1"/>
      <c r="I103" s="1"/>
      <c r="J103" s="1"/>
      <c r="K103" s="1"/>
      <c r="L103" s="1"/>
    </row>
    <row r="106" spans="2:28" x14ac:dyDescent="0.3">
      <c r="B106" s="1"/>
      <c r="D106" s="1"/>
      <c r="E106" s="1"/>
      <c r="G106" s="1"/>
      <c r="H106" s="1"/>
      <c r="I106" s="1"/>
      <c r="J106" s="1"/>
      <c r="K106" s="1"/>
      <c r="L106" s="1"/>
    </row>
    <row r="107" spans="2:28" x14ac:dyDescent="0.3">
      <c r="R107" s="1"/>
      <c r="T107" s="1"/>
      <c r="U107" s="1"/>
      <c r="W107" s="1"/>
      <c r="X107" s="1"/>
      <c r="Y107" s="1"/>
      <c r="Z107" s="1"/>
      <c r="AA107" s="1"/>
      <c r="AB107" s="1"/>
    </row>
    <row r="109" spans="2:28" x14ac:dyDescent="0.3">
      <c r="B109" s="1"/>
      <c r="D109" s="1"/>
      <c r="E109" s="1"/>
      <c r="G109" s="1"/>
      <c r="H109" s="1"/>
      <c r="I109" s="1"/>
      <c r="J109" s="1"/>
      <c r="K109" s="1"/>
      <c r="L109" s="1"/>
    </row>
    <row r="113" spans="2:28" x14ac:dyDescent="0.3">
      <c r="B113" s="1"/>
      <c r="D113" s="1"/>
      <c r="E113" s="1"/>
      <c r="G113" s="1"/>
      <c r="H113" s="1"/>
      <c r="I113" s="1"/>
      <c r="J113" s="1"/>
      <c r="K113" s="1"/>
      <c r="L113" s="1"/>
    </row>
    <row r="114" spans="2:28" x14ac:dyDescent="0.3">
      <c r="R114" s="1"/>
      <c r="T114" s="1"/>
      <c r="U114" s="1"/>
      <c r="W114" s="1"/>
      <c r="X114" s="1"/>
      <c r="Y114" s="1"/>
      <c r="Z114" s="1"/>
      <c r="AA114" s="1"/>
      <c r="AB114" s="1"/>
    </row>
    <row r="115" spans="2:28" x14ac:dyDescent="0.3">
      <c r="R115" s="1"/>
      <c r="T115" s="1"/>
      <c r="U115" s="1"/>
      <c r="W115" s="1"/>
      <c r="X115" s="1"/>
      <c r="Y115" s="1"/>
      <c r="Z115" s="1"/>
      <c r="AA115" s="1"/>
      <c r="AB115" s="1"/>
    </row>
    <row r="116" spans="2:28" x14ac:dyDescent="0.3">
      <c r="B116" s="1"/>
      <c r="D116" s="1"/>
      <c r="E116" s="1"/>
      <c r="G116" s="1"/>
      <c r="H116" s="1"/>
      <c r="I116" s="1"/>
      <c r="J116" s="1"/>
      <c r="K116" s="1"/>
      <c r="L116" s="1"/>
    </row>
    <row r="120" spans="2:28" x14ac:dyDescent="0.3">
      <c r="B120" s="1"/>
      <c r="D120" s="1"/>
      <c r="E120" s="1"/>
      <c r="G120" s="1"/>
      <c r="H120" s="1"/>
      <c r="I120" s="1"/>
      <c r="J120" s="1"/>
      <c r="K120" s="1"/>
      <c r="L120" s="1"/>
    </row>
    <row r="121" spans="2:28" x14ac:dyDescent="0.3">
      <c r="R121" s="1"/>
      <c r="T121" s="1"/>
      <c r="U121" s="1"/>
      <c r="W121" s="1"/>
      <c r="X121" s="1"/>
      <c r="Y121" s="1"/>
      <c r="Z121" s="1"/>
      <c r="AA121" s="1"/>
      <c r="AB121" s="1"/>
    </row>
    <row r="122" spans="2:28" x14ac:dyDescent="0.3">
      <c r="R122" s="1"/>
      <c r="T122" s="1"/>
      <c r="U122" s="1"/>
      <c r="W122" s="1"/>
      <c r="X122" s="1"/>
      <c r="Y122" s="1"/>
      <c r="Z122" s="1"/>
      <c r="AA122" s="1"/>
      <c r="AB122" s="1"/>
    </row>
    <row r="123" spans="2:28" x14ac:dyDescent="0.3">
      <c r="B123" s="1"/>
      <c r="D123" s="1"/>
      <c r="E123" s="1"/>
      <c r="G123" s="1"/>
      <c r="H123" s="1"/>
      <c r="I123" s="1"/>
      <c r="J123" s="1"/>
      <c r="K123" s="1"/>
      <c r="L123" s="1"/>
    </row>
    <row r="127" spans="2:28" x14ac:dyDescent="0.3">
      <c r="B127" s="1"/>
      <c r="D127" s="1"/>
      <c r="E127" s="1"/>
      <c r="G127" s="1"/>
      <c r="H127" s="1"/>
      <c r="I127" s="1"/>
      <c r="J127" s="1"/>
      <c r="K127" s="1"/>
      <c r="L127" s="1"/>
    </row>
    <row r="128" spans="2:28" x14ac:dyDescent="0.3">
      <c r="R128" s="1"/>
      <c r="T128" s="1"/>
      <c r="U128" s="1"/>
      <c r="W128" s="1"/>
      <c r="X128" s="1"/>
      <c r="Y128" s="1"/>
      <c r="Z128" s="1"/>
      <c r="AA128" s="1"/>
      <c r="AB128" s="1"/>
    </row>
    <row r="129" spans="2:28" x14ac:dyDescent="0.3">
      <c r="R129" s="1"/>
      <c r="T129" s="1"/>
      <c r="U129" s="1"/>
      <c r="W129" s="1"/>
      <c r="X129" s="1"/>
      <c r="Y129" s="1"/>
      <c r="Z129" s="1"/>
      <c r="AA129" s="1"/>
      <c r="AB129" s="1"/>
    </row>
    <row r="130" spans="2:28" x14ac:dyDescent="0.3">
      <c r="B130" s="1"/>
      <c r="D130" s="1"/>
      <c r="E130" s="1"/>
      <c r="G130" s="1"/>
      <c r="H130" s="1"/>
      <c r="I130" s="1"/>
      <c r="J130" s="1"/>
      <c r="K130" s="1"/>
      <c r="L130" s="1"/>
    </row>
    <row r="135" spans="2:28" x14ac:dyDescent="0.3">
      <c r="R135" s="1"/>
      <c r="T135" s="1"/>
      <c r="U135" s="1"/>
      <c r="W135" s="1"/>
      <c r="X135" s="1"/>
      <c r="Y135" s="1"/>
      <c r="Z135" s="1"/>
      <c r="AA135" s="1"/>
      <c r="AB135" s="1"/>
    </row>
    <row r="136" spans="2:28" x14ac:dyDescent="0.3">
      <c r="R136" s="1"/>
      <c r="T136" s="1"/>
      <c r="U136" s="1"/>
      <c r="W136" s="1"/>
      <c r="X136" s="1"/>
      <c r="Y136" s="1"/>
      <c r="Z136" s="1"/>
      <c r="AA136" s="1"/>
      <c r="AB136" s="1"/>
    </row>
    <row r="137" spans="2:28" x14ac:dyDescent="0.3">
      <c r="B137" s="1"/>
      <c r="D137" s="1"/>
      <c r="E137" s="1"/>
      <c r="G137" s="1"/>
      <c r="H137" s="1"/>
      <c r="I137" s="1"/>
      <c r="J137" s="1"/>
      <c r="K137" s="1"/>
      <c r="L137" s="1"/>
    </row>
    <row r="142" spans="2:28" x14ac:dyDescent="0.3">
      <c r="R142" s="1"/>
      <c r="T142" s="1"/>
      <c r="U142" s="1"/>
      <c r="W142" s="1"/>
      <c r="X142" s="1"/>
      <c r="Y142" s="1"/>
      <c r="Z142" s="1"/>
      <c r="AA142" s="1"/>
      <c r="AB142" s="1"/>
    </row>
    <row r="143" spans="2:28" x14ac:dyDescent="0.3">
      <c r="R143" s="1"/>
      <c r="T143" s="1"/>
      <c r="U143" s="1"/>
      <c r="W143" s="1"/>
      <c r="X143" s="1"/>
      <c r="Y143" s="1"/>
      <c r="Z143" s="1"/>
      <c r="AA143" s="1"/>
      <c r="AB143" s="1"/>
    </row>
    <row r="144" spans="2:28" x14ac:dyDescent="0.3">
      <c r="B144" s="1"/>
      <c r="D144" s="1"/>
      <c r="E144" s="1"/>
      <c r="G144" s="1"/>
      <c r="H144" s="1"/>
      <c r="I144" s="1"/>
      <c r="J144" s="1"/>
      <c r="K144" s="1"/>
      <c r="L144" s="1"/>
    </row>
    <row r="150" spans="2:28" x14ac:dyDescent="0.3">
      <c r="R150" s="1"/>
      <c r="T150" s="1"/>
      <c r="U150" s="1"/>
      <c r="W150" s="1"/>
      <c r="X150" s="1"/>
      <c r="Y150" s="1"/>
      <c r="Z150" s="1"/>
      <c r="AA150" s="1"/>
      <c r="AB150" s="1"/>
    </row>
    <row r="151" spans="2:28" x14ac:dyDescent="0.3">
      <c r="B151" s="1"/>
      <c r="D151" s="1"/>
      <c r="E151" s="1"/>
      <c r="G151" s="1"/>
      <c r="H151" s="1"/>
      <c r="I151" s="1"/>
      <c r="J151" s="1"/>
      <c r="K151" s="1"/>
      <c r="L151" s="1"/>
    </row>
    <row r="152" spans="2:28" x14ac:dyDescent="0.3">
      <c r="R152" s="1"/>
      <c r="T152" s="1"/>
      <c r="U152" s="1"/>
      <c r="W152" s="1"/>
      <c r="X152" s="1"/>
      <c r="Y152" s="1"/>
      <c r="Z152" s="1"/>
      <c r="AA152" s="1"/>
      <c r="AB152" s="1"/>
    </row>
    <row r="154" spans="2:28" x14ac:dyDescent="0.3">
      <c r="B154" s="1"/>
      <c r="D154" s="1"/>
      <c r="E154" s="1"/>
      <c r="G154" s="1"/>
      <c r="H154" s="1"/>
      <c r="I154" s="1"/>
      <c r="J154" s="1"/>
      <c r="K154" s="1"/>
      <c r="L154" s="1"/>
    </row>
    <row r="157" spans="2:28" x14ac:dyDescent="0.3">
      <c r="R157" s="1"/>
      <c r="T157" s="1"/>
      <c r="U157" s="1"/>
      <c r="W157" s="1"/>
      <c r="X157" s="1"/>
      <c r="Y157" s="1"/>
      <c r="Z157" s="1"/>
      <c r="AA157" s="1"/>
      <c r="AB157" s="1"/>
    </row>
    <row r="158" spans="2:28" x14ac:dyDescent="0.3">
      <c r="B158" s="1"/>
      <c r="D158" s="1"/>
      <c r="E158" s="1"/>
      <c r="G158" s="1"/>
      <c r="H158" s="1"/>
      <c r="I158" s="1"/>
      <c r="J158" s="1"/>
      <c r="K158" s="1"/>
      <c r="L158" s="1"/>
    </row>
    <row r="159" spans="2:28" x14ac:dyDescent="0.3">
      <c r="R159" s="1"/>
      <c r="T159" s="1"/>
      <c r="U159" s="1"/>
      <c r="W159" s="1"/>
      <c r="X159" s="1"/>
      <c r="Y159" s="1"/>
      <c r="Z159" s="1"/>
      <c r="AA159" s="1"/>
      <c r="AB159" s="1"/>
    </row>
    <row r="161" spans="2:28" x14ac:dyDescent="0.3">
      <c r="B161" s="1"/>
      <c r="D161" s="1"/>
      <c r="E161" s="1"/>
      <c r="G161" s="1"/>
      <c r="H161" s="1"/>
      <c r="I161" s="1"/>
      <c r="J161" s="1"/>
      <c r="K161" s="1"/>
      <c r="L161" s="1"/>
    </row>
    <row r="164" spans="2:28" x14ac:dyDescent="0.3">
      <c r="R164" s="1"/>
      <c r="T164" s="1"/>
      <c r="U164" s="1"/>
      <c r="W164" s="1"/>
      <c r="X164" s="1"/>
      <c r="Y164" s="1"/>
      <c r="Z164" s="1"/>
      <c r="AA164" s="1"/>
      <c r="AB164" s="1"/>
    </row>
    <row r="165" spans="2:28" x14ac:dyDescent="0.3">
      <c r="B165" s="1"/>
      <c r="D165" s="1"/>
      <c r="E165" s="1"/>
      <c r="G165" s="1"/>
      <c r="H165" s="1"/>
      <c r="I165" s="1"/>
      <c r="J165" s="1"/>
      <c r="K165" s="1"/>
      <c r="L165" s="1"/>
    </row>
    <row r="166" spans="2:28" x14ac:dyDescent="0.3">
      <c r="R166" s="1"/>
      <c r="T166" s="1"/>
      <c r="U166" s="1"/>
      <c r="W166" s="1"/>
      <c r="X166" s="1"/>
      <c r="Y166" s="1"/>
      <c r="Z166" s="1"/>
      <c r="AA166" s="1"/>
      <c r="AB166" s="1"/>
    </row>
    <row r="168" spans="2:28" x14ac:dyDescent="0.3">
      <c r="B168" s="1"/>
      <c r="D168" s="1"/>
      <c r="E168" s="1"/>
      <c r="G168" s="1"/>
      <c r="H168" s="1"/>
      <c r="I168" s="1"/>
      <c r="J168" s="1"/>
      <c r="K168" s="1"/>
      <c r="L168" s="1"/>
    </row>
    <row r="172" spans="2:28" x14ac:dyDescent="0.3">
      <c r="B172" s="1"/>
      <c r="D172" s="1"/>
      <c r="E172" s="1"/>
      <c r="G172" s="1"/>
      <c r="H172" s="1"/>
      <c r="I172" s="1"/>
      <c r="J172" s="1"/>
      <c r="K172" s="1"/>
      <c r="L172" s="1"/>
    </row>
    <row r="173" spans="2:28" x14ac:dyDescent="0.3">
      <c r="R173" s="1"/>
      <c r="T173" s="1"/>
      <c r="U173" s="1"/>
      <c r="W173" s="1"/>
      <c r="X173" s="1"/>
      <c r="Y173" s="1"/>
      <c r="Z173" s="1"/>
      <c r="AA173" s="1"/>
      <c r="AB173" s="1"/>
    </row>
    <row r="174" spans="2:28" x14ac:dyDescent="0.3">
      <c r="R174" s="1"/>
      <c r="T174" s="1"/>
      <c r="U174" s="1"/>
      <c r="W174" s="1"/>
      <c r="X174" s="1"/>
      <c r="Y174" s="1"/>
      <c r="Z174" s="1"/>
      <c r="AA174" s="1"/>
      <c r="AB174" s="1"/>
    </row>
    <row r="175" spans="2:28" x14ac:dyDescent="0.3">
      <c r="B175" s="1"/>
      <c r="D175" s="1"/>
      <c r="E175" s="1"/>
      <c r="G175" s="1"/>
      <c r="H175" s="1"/>
      <c r="I175" s="1"/>
      <c r="J175" s="1"/>
      <c r="K175" s="1"/>
      <c r="L175" s="1"/>
    </row>
    <row r="179" spans="2:28" x14ac:dyDescent="0.3">
      <c r="B179" s="1"/>
      <c r="D179" s="1"/>
      <c r="E179" s="1"/>
      <c r="G179" s="1"/>
      <c r="H179" s="1"/>
      <c r="I179" s="1"/>
      <c r="J179" s="1"/>
      <c r="K179" s="1"/>
      <c r="L179" s="1"/>
    </row>
    <row r="181" spans="2:28" x14ac:dyDescent="0.3">
      <c r="R181" s="1"/>
      <c r="T181" s="1"/>
      <c r="U181" s="1"/>
      <c r="W181" s="1"/>
      <c r="X181" s="1"/>
      <c r="Y181" s="1"/>
      <c r="Z181" s="1"/>
      <c r="AA181" s="1"/>
      <c r="AB181" s="1"/>
    </row>
    <row r="185" spans="2:28" x14ac:dyDescent="0.3">
      <c r="B185" s="1"/>
      <c r="D185" s="1"/>
      <c r="E185" s="1"/>
      <c r="G185" s="1"/>
      <c r="H185" s="1"/>
      <c r="I185" s="1"/>
      <c r="J185" s="1"/>
      <c r="K185" s="1"/>
      <c r="L185" s="1"/>
    </row>
    <row r="188" spans="2:28" x14ac:dyDescent="0.3">
      <c r="R188" s="1"/>
      <c r="T188" s="1"/>
      <c r="U188" s="1"/>
      <c r="W188" s="1"/>
      <c r="X188" s="1"/>
      <c r="Y188" s="1"/>
      <c r="Z188" s="1"/>
      <c r="AA188" s="1"/>
      <c r="AB188" s="1"/>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summary of data</vt:lpstr>
      <vt:lpstr>cryo on data 08</vt:lpstr>
      <vt:lpstr>cryo on data 09</vt:lpstr>
      <vt:lpstr>cryo on data 12</vt:lpstr>
      <vt:lpstr>cryo on data 13</vt:lpstr>
      <vt:lpstr>cryo on data 15</vt:lpstr>
      <vt:lpstr>cryo on data 16</vt:lpstr>
      <vt:lpstr>cryo on data 19</vt:lpstr>
      <vt:lpstr>cryo on data 23</vt:lpstr>
      <vt:lpstr>absolute density calculator</vt:lpstr>
      <vt:lpstr> beam dynamic density calculato</vt:lpstr>
      <vt:lpstr>power dependencies</vt:lpstr>
      <vt:lpstr>probe laser time profile measur</vt:lpstr>
    </vt:vector>
  </TitlesOfParts>
  <Company>Durham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CG273_2</dc:creator>
  <cp:lastModifiedBy>CG273_2</cp:lastModifiedBy>
  <dcterms:created xsi:type="dcterms:W3CDTF">2018-11-07T09:23:07Z</dcterms:created>
  <dcterms:modified xsi:type="dcterms:W3CDTF">2018-11-23T13:31:10Z</dcterms:modified>
</cp:coreProperties>
</file>